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pezeshk\Dropbox\My Webs\pezeshk\PDFs\Software\Liquefaction\"/>
    </mc:Choice>
  </mc:AlternateContent>
  <bookViews>
    <workbookView xWindow="22236" yWindow="2388" windowWidth="27708" windowHeight="13308"/>
  </bookViews>
  <sheets>
    <sheet name="B-1" sheetId="1" r:id="rId1"/>
    <sheet name="SPT Graph" sheetId="6" r:id="rId2"/>
    <sheet name="CSR_CRR Graph" sheetId="7" r:id="rId3"/>
    <sheet name="Factor Safety" sheetId="8" r:id="rId4"/>
  </sheets>
  <definedNames>
    <definedName name="_xlnm._FilterDatabase" localSheetId="0" hidden="1">'B-1'!$Z$16:$Z$31</definedName>
    <definedName name="Cb">'B-1'!$Z$7</definedName>
    <definedName name="Ce">'B-1'!$Z$6</definedName>
    <definedName name="Cr">'B-1'!$Z$9</definedName>
    <definedName name="Cs">'B-1'!$Z$8</definedName>
    <definedName name="Mw">'B-1'!$E$6</definedName>
    <definedName name="PGA">'B-1'!$E$7</definedName>
    <definedName name="_xlnm.Print_Area" localSheetId="0">'B-1'!$A$1:$Z$46</definedName>
  </definedNames>
  <calcPr calcId="152511" iterate="1" iterateDelta="1.0000000000000001E-5" concurrentCalc="0"/>
</workbook>
</file>

<file path=xl/calcChain.xml><?xml version="1.0" encoding="utf-8"?>
<calcChain xmlns="http://schemas.openxmlformats.org/spreadsheetml/2006/main">
  <c r="V16" i="1" l="1"/>
  <c r="Y16" i="1"/>
  <c r="B4" i="8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E44" i="8"/>
  <c r="A19" i="8"/>
  <c r="F36" i="8"/>
  <c r="D36" i="8"/>
  <c r="E36" i="8"/>
  <c r="F35" i="8"/>
  <c r="A18" i="8"/>
  <c r="F34" i="8"/>
  <c r="F33" i="8"/>
  <c r="A17" i="8"/>
  <c r="F32" i="8"/>
  <c r="F31" i="8"/>
  <c r="A16" i="8"/>
  <c r="F30" i="8"/>
  <c r="F29" i="8"/>
  <c r="A15" i="8"/>
  <c r="F28" i="8"/>
  <c r="F27" i="8"/>
  <c r="A14" i="8"/>
  <c r="F26" i="8"/>
  <c r="F25" i="8"/>
  <c r="A13" i="8"/>
  <c r="F24" i="8"/>
  <c r="F23" i="8"/>
  <c r="A12" i="8"/>
  <c r="F22" i="8"/>
  <c r="A22" i="8"/>
  <c r="F21" i="8"/>
  <c r="A21" i="8"/>
  <c r="A11" i="8"/>
  <c r="F20" i="8"/>
  <c r="A20" i="8"/>
  <c r="F19" i="8"/>
  <c r="A10" i="8"/>
  <c r="F18" i="8"/>
  <c r="F17" i="8"/>
  <c r="A9" i="8"/>
  <c r="F16" i="8"/>
  <c r="F15" i="8"/>
  <c r="A8" i="8"/>
  <c r="F14" i="8"/>
  <c r="F13" i="8"/>
  <c r="A7" i="8"/>
  <c r="F12" i="8"/>
  <c r="F11" i="8"/>
  <c r="A6" i="8"/>
  <c r="F10" i="8"/>
  <c r="F9" i="8"/>
  <c r="A5" i="8"/>
  <c r="F8" i="8"/>
  <c r="F7" i="8"/>
  <c r="A4" i="8"/>
  <c r="F6" i="8"/>
  <c r="F5" i="8"/>
  <c r="D5" i="8"/>
  <c r="E5" i="8"/>
  <c r="D4" i="8"/>
  <c r="E4" i="8"/>
  <c r="W4" i="7"/>
  <c r="W3" i="7"/>
  <c r="I16" i="1"/>
  <c r="H16" i="1"/>
  <c r="B16" i="1"/>
  <c r="K16" i="1"/>
  <c r="L16" i="1"/>
  <c r="B4" i="7"/>
  <c r="D5" i="7"/>
  <c r="E5" i="7"/>
  <c r="I17" i="1"/>
  <c r="H17" i="1"/>
  <c r="B17" i="1"/>
  <c r="K17" i="1"/>
  <c r="L17" i="1"/>
  <c r="B5" i="7"/>
  <c r="D6" i="7"/>
  <c r="E6" i="7"/>
  <c r="D7" i="7"/>
  <c r="E7" i="7"/>
  <c r="I18" i="1"/>
  <c r="H18" i="1"/>
  <c r="B18" i="1"/>
  <c r="K18" i="1"/>
  <c r="L18" i="1"/>
  <c r="B6" i="7"/>
  <c r="D8" i="7"/>
  <c r="E8" i="7"/>
  <c r="D9" i="7"/>
  <c r="E9" i="7"/>
  <c r="I19" i="1"/>
  <c r="H19" i="1"/>
  <c r="B19" i="1"/>
  <c r="K19" i="1"/>
  <c r="L19" i="1"/>
  <c r="B7" i="7"/>
  <c r="D10" i="7"/>
  <c r="E10" i="7"/>
  <c r="D11" i="7"/>
  <c r="E11" i="7"/>
  <c r="I20" i="1"/>
  <c r="H20" i="1"/>
  <c r="B20" i="1"/>
  <c r="K20" i="1"/>
  <c r="L20" i="1"/>
  <c r="B8" i="7"/>
  <c r="D12" i="7"/>
  <c r="E12" i="7"/>
  <c r="D13" i="7"/>
  <c r="E13" i="7"/>
  <c r="I21" i="1"/>
  <c r="H21" i="1"/>
  <c r="B21" i="1"/>
  <c r="K21" i="1"/>
  <c r="L21" i="1"/>
  <c r="B9" i="7"/>
  <c r="D14" i="7"/>
  <c r="E14" i="7"/>
  <c r="D15" i="7"/>
  <c r="E15" i="7"/>
  <c r="I22" i="1"/>
  <c r="H22" i="1"/>
  <c r="B22" i="1"/>
  <c r="K22" i="1"/>
  <c r="L22" i="1"/>
  <c r="B10" i="7"/>
  <c r="D16" i="7"/>
  <c r="E16" i="7"/>
  <c r="D17" i="7"/>
  <c r="E17" i="7"/>
  <c r="I23" i="1"/>
  <c r="H23" i="1"/>
  <c r="B23" i="1"/>
  <c r="K23" i="1"/>
  <c r="L23" i="1"/>
  <c r="B11" i="7"/>
  <c r="D18" i="7"/>
  <c r="E18" i="7"/>
  <c r="D19" i="7"/>
  <c r="E19" i="7"/>
  <c r="I24" i="1"/>
  <c r="H24" i="1"/>
  <c r="B24" i="1"/>
  <c r="K24" i="1"/>
  <c r="L24" i="1"/>
  <c r="B12" i="7"/>
  <c r="D20" i="7"/>
  <c r="E20" i="7"/>
  <c r="D21" i="7"/>
  <c r="E21" i="7"/>
  <c r="I25" i="1"/>
  <c r="H25" i="1"/>
  <c r="B25" i="1"/>
  <c r="K25" i="1"/>
  <c r="L25" i="1"/>
  <c r="B13" i="7"/>
  <c r="D22" i="7"/>
  <c r="E22" i="7"/>
  <c r="D23" i="7"/>
  <c r="E23" i="7"/>
  <c r="I26" i="1"/>
  <c r="H26" i="1"/>
  <c r="B26" i="1"/>
  <c r="K26" i="1"/>
  <c r="L26" i="1"/>
  <c r="B14" i="7"/>
  <c r="D24" i="7"/>
  <c r="E24" i="7"/>
  <c r="D25" i="7"/>
  <c r="E25" i="7"/>
  <c r="I27" i="1"/>
  <c r="H27" i="1"/>
  <c r="B27" i="1"/>
  <c r="K27" i="1"/>
  <c r="L27" i="1"/>
  <c r="B15" i="7"/>
  <c r="D26" i="7"/>
  <c r="E26" i="7"/>
  <c r="D27" i="7"/>
  <c r="E27" i="7"/>
  <c r="I28" i="1"/>
  <c r="H28" i="1"/>
  <c r="B28" i="1"/>
  <c r="K28" i="1"/>
  <c r="L28" i="1"/>
  <c r="B16" i="7"/>
  <c r="D28" i="7"/>
  <c r="E28" i="7"/>
  <c r="D29" i="7"/>
  <c r="E29" i="7"/>
  <c r="I29" i="1"/>
  <c r="H29" i="1"/>
  <c r="B29" i="1"/>
  <c r="K29" i="1"/>
  <c r="L29" i="1"/>
  <c r="B17" i="7"/>
  <c r="D30" i="7"/>
  <c r="E30" i="7"/>
  <c r="D31" i="7"/>
  <c r="E31" i="7"/>
  <c r="I30" i="1"/>
  <c r="H30" i="1"/>
  <c r="B30" i="1"/>
  <c r="K30" i="1"/>
  <c r="L30" i="1"/>
  <c r="B18" i="7"/>
  <c r="D32" i="7"/>
  <c r="E32" i="7"/>
  <c r="D33" i="7"/>
  <c r="E33" i="7"/>
  <c r="I31" i="1"/>
  <c r="H31" i="1"/>
  <c r="B31" i="1"/>
  <c r="K31" i="1"/>
  <c r="L31" i="1"/>
  <c r="B19" i="7"/>
  <c r="D34" i="7"/>
  <c r="E34" i="7"/>
  <c r="D35" i="7"/>
  <c r="E35" i="7"/>
  <c r="E36" i="7"/>
  <c r="D4" i="7"/>
  <c r="E4" i="7"/>
  <c r="P20" i="7"/>
  <c r="R36" i="7"/>
  <c r="S36" i="7"/>
  <c r="R37" i="7"/>
  <c r="S37" i="7"/>
  <c r="P21" i="7"/>
  <c r="R38" i="7"/>
  <c r="S38" i="7"/>
  <c r="R39" i="7"/>
  <c r="S39" i="7"/>
  <c r="P22" i="7"/>
  <c r="R40" i="7"/>
  <c r="S40" i="7"/>
  <c r="R41" i="7"/>
  <c r="S41" i="7"/>
  <c r="S42" i="7"/>
  <c r="S43" i="7"/>
  <c r="P4" i="7"/>
  <c r="R5" i="7"/>
  <c r="S5" i="7"/>
  <c r="R4" i="7"/>
  <c r="S4" i="7"/>
  <c r="D5" i="6"/>
  <c r="E5" i="6"/>
  <c r="D6" i="6"/>
  <c r="E6" i="6"/>
  <c r="D7" i="6"/>
  <c r="E7" i="6"/>
  <c r="D8" i="6"/>
  <c r="E8" i="6"/>
  <c r="D9" i="6"/>
  <c r="E9" i="6"/>
  <c r="D10" i="6"/>
  <c r="E10" i="6"/>
  <c r="D11" i="6"/>
  <c r="E11" i="6"/>
  <c r="D12" i="6"/>
  <c r="E12" i="6"/>
  <c r="D13" i="6"/>
  <c r="E13" i="6"/>
  <c r="D36" i="6"/>
  <c r="E36" i="6"/>
  <c r="D4" i="6"/>
  <c r="E4" i="6"/>
  <c r="U16" i="1"/>
  <c r="P4" i="6"/>
  <c r="R5" i="6"/>
  <c r="S5" i="6"/>
  <c r="P20" i="6"/>
  <c r="R36" i="6"/>
  <c r="S36" i="6"/>
  <c r="R37" i="6"/>
  <c r="S37" i="6"/>
  <c r="P21" i="6"/>
  <c r="R38" i="6"/>
  <c r="S38" i="6"/>
  <c r="R39" i="6"/>
  <c r="S39" i="6"/>
  <c r="P22" i="6"/>
  <c r="R40" i="6"/>
  <c r="S40" i="6"/>
  <c r="R41" i="6"/>
  <c r="S41" i="6"/>
  <c r="S42" i="6"/>
  <c r="S43" i="6"/>
  <c r="R4" i="6"/>
  <c r="S4" i="6"/>
  <c r="R43" i="7"/>
  <c r="O22" i="7"/>
  <c r="T42" i="7"/>
  <c r="R42" i="7"/>
  <c r="T41" i="7"/>
  <c r="O21" i="7"/>
  <c r="T40" i="7"/>
  <c r="T39" i="7"/>
  <c r="O20" i="7"/>
  <c r="T38" i="7"/>
  <c r="T37" i="7"/>
  <c r="O24" i="7"/>
  <c r="O23" i="7"/>
  <c r="E44" i="7"/>
  <c r="A19" i="7"/>
  <c r="F36" i="7"/>
  <c r="D36" i="7"/>
  <c r="F35" i="7"/>
  <c r="A18" i="7"/>
  <c r="F34" i="7"/>
  <c r="F33" i="7"/>
  <c r="A17" i="7"/>
  <c r="F32" i="7"/>
  <c r="F31" i="7"/>
  <c r="A16" i="7"/>
  <c r="F30" i="7"/>
  <c r="F29" i="7"/>
  <c r="A15" i="7"/>
  <c r="F28" i="7"/>
  <c r="F27" i="7"/>
  <c r="A14" i="7"/>
  <c r="F26" i="7"/>
  <c r="F25" i="7"/>
  <c r="A13" i="7"/>
  <c r="F24" i="7"/>
  <c r="F23" i="7"/>
  <c r="A12" i="7"/>
  <c r="F22" i="7"/>
  <c r="A22" i="7"/>
  <c r="F21" i="7"/>
  <c r="A21" i="7"/>
  <c r="A11" i="7"/>
  <c r="F20" i="7"/>
  <c r="A20" i="7"/>
  <c r="F19" i="7"/>
  <c r="A10" i="7"/>
  <c r="F18" i="7"/>
  <c r="F17" i="7"/>
  <c r="A9" i="7"/>
  <c r="F16" i="7"/>
  <c r="F15" i="7"/>
  <c r="A8" i="7"/>
  <c r="F14" i="7"/>
  <c r="F13" i="7"/>
  <c r="A7" i="7"/>
  <c r="F12" i="7"/>
  <c r="F11" i="7"/>
  <c r="A6" i="7"/>
  <c r="F10" i="7"/>
  <c r="F9" i="7"/>
  <c r="A5" i="7"/>
  <c r="F8" i="7"/>
  <c r="F7" i="7"/>
  <c r="A4" i="7"/>
  <c r="F6" i="7"/>
  <c r="F5" i="7"/>
  <c r="A19" i="6"/>
  <c r="F36" i="6"/>
  <c r="A4" i="6"/>
  <c r="F5" i="6"/>
  <c r="F6" i="6"/>
  <c r="A5" i="6"/>
  <c r="F7" i="6"/>
  <c r="F8" i="6"/>
  <c r="A6" i="6"/>
  <c r="F9" i="6"/>
  <c r="F10" i="6"/>
  <c r="A7" i="6"/>
  <c r="F11" i="6"/>
  <c r="F12" i="6"/>
  <c r="A8" i="6"/>
  <c r="F13" i="6"/>
  <c r="F14" i="6"/>
  <c r="A9" i="6"/>
  <c r="F15" i="6"/>
  <c r="F16" i="6"/>
  <c r="A10" i="6"/>
  <c r="F17" i="6"/>
  <c r="F18" i="6"/>
  <c r="A11" i="6"/>
  <c r="F19" i="6"/>
  <c r="F20" i="6"/>
  <c r="A12" i="6"/>
  <c r="F21" i="6"/>
  <c r="F22" i="6"/>
  <c r="A13" i="6"/>
  <c r="F23" i="6"/>
  <c r="F24" i="6"/>
  <c r="A14" i="6"/>
  <c r="F25" i="6"/>
  <c r="F26" i="6"/>
  <c r="A15" i="6"/>
  <c r="F27" i="6"/>
  <c r="F28" i="6"/>
  <c r="A16" i="6"/>
  <c r="F29" i="6"/>
  <c r="F30" i="6"/>
  <c r="A17" i="6"/>
  <c r="F31" i="6"/>
  <c r="F32" i="6"/>
  <c r="A18" i="6"/>
  <c r="F33" i="6"/>
  <c r="F34" i="6"/>
  <c r="F35" i="6"/>
  <c r="E44" i="6"/>
  <c r="R42" i="6"/>
  <c r="R43" i="6"/>
  <c r="O23" i="6"/>
  <c r="O24" i="6"/>
  <c r="O20" i="6"/>
  <c r="O21" i="6"/>
  <c r="O22" i="6"/>
  <c r="T42" i="6"/>
  <c r="T41" i="6"/>
  <c r="T40" i="6"/>
  <c r="T39" i="6"/>
  <c r="T38" i="6"/>
  <c r="T37" i="6"/>
  <c r="A20" i="6"/>
  <c r="A21" i="6"/>
  <c r="A22" i="6"/>
  <c r="Z17" i="1"/>
  <c r="Z18" i="1"/>
  <c r="Z19" i="1"/>
  <c r="Z20" i="1"/>
  <c r="Z16" i="1"/>
  <c r="X16" i="1"/>
  <c r="W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16" i="1"/>
  <c r="V9" i="1"/>
  <c r="R17" i="1"/>
  <c r="M17" i="1"/>
  <c r="Z7" i="1"/>
  <c r="Q17" i="1"/>
  <c r="R18" i="1"/>
  <c r="M18" i="1"/>
  <c r="Q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16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16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16" i="1"/>
  <c r="A45" i="1"/>
  <c r="D14" i="6"/>
  <c r="E14" i="6"/>
  <c r="D15" i="6"/>
  <c r="E15" i="6"/>
  <c r="D16" i="6"/>
  <c r="E16" i="6"/>
  <c r="D17" i="6"/>
  <c r="E17" i="6"/>
  <c r="D18" i="6"/>
  <c r="E18" i="6"/>
  <c r="D19" i="6"/>
  <c r="E19" i="6"/>
  <c r="D20" i="6"/>
  <c r="E20" i="6"/>
  <c r="D21" i="6"/>
  <c r="E21" i="6"/>
  <c r="D22" i="6"/>
  <c r="E22" i="6"/>
  <c r="D23" i="6"/>
  <c r="E23" i="6"/>
  <c r="D24" i="6"/>
  <c r="E24" i="6"/>
  <c r="D25" i="6"/>
  <c r="E25" i="6"/>
  <c r="D26" i="6"/>
  <c r="E26" i="6"/>
  <c r="D27" i="6"/>
  <c r="E27" i="6"/>
  <c r="D28" i="6"/>
  <c r="E28" i="6"/>
  <c r="D29" i="6"/>
  <c r="E29" i="6"/>
  <c r="D30" i="6"/>
  <c r="E30" i="6"/>
  <c r="D31" i="6"/>
  <c r="E31" i="6"/>
  <c r="D32" i="6"/>
  <c r="E32" i="6"/>
  <c r="D33" i="6"/>
  <c r="E33" i="6"/>
  <c r="D34" i="6"/>
  <c r="E34" i="6"/>
  <c r="D35" i="6"/>
  <c r="E35" i="6"/>
  <c r="N16" i="1"/>
  <c r="O16" i="1"/>
  <c r="P16" i="1"/>
  <c r="S16" i="1"/>
  <c r="N17" i="1"/>
  <c r="O17" i="1"/>
  <c r="P17" i="1"/>
  <c r="S17" i="1"/>
  <c r="U17" i="1"/>
  <c r="V17" i="1"/>
  <c r="W17" i="1"/>
  <c r="X17" i="1"/>
  <c r="Y17" i="1"/>
  <c r="N18" i="1"/>
  <c r="O18" i="1"/>
  <c r="P18" i="1"/>
  <c r="S18" i="1"/>
  <c r="U18" i="1"/>
  <c r="V18" i="1"/>
  <c r="W18" i="1"/>
  <c r="X18" i="1"/>
  <c r="Y18" i="1"/>
  <c r="N19" i="1"/>
  <c r="O19" i="1"/>
  <c r="P19" i="1"/>
  <c r="S19" i="1"/>
  <c r="U19" i="1"/>
  <c r="V19" i="1"/>
  <c r="W19" i="1"/>
  <c r="X19" i="1"/>
  <c r="Y19" i="1"/>
  <c r="N20" i="1"/>
  <c r="O20" i="1"/>
  <c r="P20" i="1"/>
  <c r="S20" i="1"/>
  <c r="U20" i="1"/>
  <c r="V20" i="1"/>
  <c r="W20" i="1"/>
  <c r="X20" i="1"/>
  <c r="Y20" i="1"/>
  <c r="N21" i="1"/>
  <c r="O21" i="1"/>
  <c r="P21" i="1"/>
  <c r="S21" i="1"/>
  <c r="U21" i="1"/>
  <c r="V21" i="1"/>
  <c r="W21" i="1"/>
  <c r="X21" i="1"/>
  <c r="Y21" i="1"/>
  <c r="Z21" i="1"/>
  <c r="N22" i="1"/>
  <c r="O22" i="1"/>
  <c r="P22" i="1"/>
  <c r="S22" i="1"/>
  <c r="U22" i="1"/>
  <c r="V22" i="1"/>
  <c r="W22" i="1"/>
  <c r="X22" i="1"/>
  <c r="Y22" i="1"/>
  <c r="Z22" i="1"/>
  <c r="N23" i="1"/>
  <c r="O23" i="1"/>
  <c r="P23" i="1"/>
  <c r="S23" i="1"/>
  <c r="U23" i="1"/>
  <c r="V23" i="1"/>
  <c r="W23" i="1"/>
  <c r="X23" i="1"/>
  <c r="Y23" i="1"/>
  <c r="Z23" i="1"/>
  <c r="N24" i="1"/>
  <c r="O24" i="1"/>
  <c r="P24" i="1"/>
  <c r="S24" i="1"/>
  <c r="U24" i="1"/>
  <c r="V24" i="1"/>
  <c r="W24" i="1"/>
  <c r="X24" i="1"/>
  <c r="Y24" i="1"/>
  <c r="Z24" i="1"/>
  <c r="N25" i="1"/>
  <c r="O25" i="1"/>
  <c r="P25" i="1"/>
  <c r="S25" i="1"/>
  <c r="U25" i="1"/>
  <c r="V25" i="1"/>
  <c r="W25" i="1"/>
  <c r="X25" i="1"/>
  <c r="Y25" i="1"/>
  <c r="Z25" i="1"/>
  <c r="N26" i="1"/>
  <c r="O26" i="1"/>
  <c r="P26" i="1"/>
  <c r="S26" i="1"/>
  <c r="U26" i="1"/>
  <c r="V26" i="1"/>
  <c r="W26" i="1"/>
  <c r="X26" i="1"/>
  <c r="Y26" i="1"/>
  <c r="Z26" i="1"/>
  <c r="N27" i="1"/>
  <c r="O27" i="1"/>
  <c r="P27" i="1"/>
  <c r="S27" i="1"/>
  <c r="U27" i="1"/>
  <c r="V27" i="1"/>
  <c r="W27" i="1"/>
  <c r="X27" i="1"/>
  <c r="Y27" i="1"/>
  <c r="Z27" i="1"/>
  <c r="N28" i="1"/>
  <c r="O28" i="1"/>
  <c r="P28" i="1"/>
  <c r="S28" i="1"/>
  <c r="U28" i="1"/>
  <c r="V28" i="1"/>
  <c r="W28" i="1"/>
  <c r="X28" i="1"/>
  <c r="Y28" i="1"/>
  <c r="Z28" i="1"/>
  <c r="N29" i="1"/>
  <c r="O29" i="1"/>
  <c r="P29" i="1"/>
  <c r="S29" i="1"/>
  <c r="U29" i="1"/>
  <c r="V29" i="1"/>
  <c r="W29" i="1"/>
  <c r="X29" i="1"/>
  <c r="Y29" i="1"/>
  <c r="Z29" i="1"/>
  <c r="N30" i="1"/>
  <c r="O30" i="1"/>
  <c r="P30" i="1"/>
  <c r="S30" i="1"/>
  <c r="U30" i="1"/>
  <c r="V30" i="1"/>
  <c r="W30" i="1"/>
  <c r="X30" i="1"/>
  <c r="Y30" i="1"/>
  <c r="Z30" i="1"/>
  <c r="N31" i="1"/>
  <c r="O31" i="1"/>
  <c r="P31" i="1"/>
  <c r="S31" i="1"/>
  <c r="U31" i="1"/>
  <c r="V31" i="1"/>
  <c r="W31" i="1"/>
  <c r="X31" i="1"/>
  <c r="Y31" i="1"/>
  <c r="Z31" i="1"/>
  <c r="O4" i="7"/>
  <c r="O5" i="7"/>
  <c r="P5" i="7"/>
  <c r="T5" i="7"/>
  <c r="O6" i="7"/>
  <c r="P6" i="7"/>
  <c r="R6" i="7"/>
  <c r="S6" i="7"/>
  <c r="T6" i="7"/>
  <c r="O7" i="7"/>
  <c r="P7" i="7"/>
  <c r="R7" i="7"/>
  <c r="S7" i="7"/>
  <c r="T7" i="7"/>
  <c r="O8" i="7"/>
  <c r="P8" i="7"/>
  <c r="R8" i="7"/>
  <c r="S8" i="7"/>
  <c r="T8" i="7"/>
  <c r="O9" i="7"/>
  <c r="P9" i="7"/>
  <c r="R9" i="7"/>
  <c r="S9" i="7"/>
  <c r="T9" i="7"/>
  <c r="O10" i="7"/>
  <c r="P10" i="7"/>
  <c r="R10" i="7"/>
  <c r="S10" i="7"/>
  <c r="T10" i="7"/>
  <c r="O11" i="7"/>
  <c r="P11" i="7"/>
  <c r="R11" i="7"/>
  <c r="S11" i="7"/>
  <c r="T11" i="7"/>
  <c r="O12" i="7"/>
  <c r="P12" i="7"/>
  <c r="R12" i="7"/>
  <c r="S12" i="7"/>
  <c r="T12" i="7"/>
  <c r="O13" i="7"/>
  <c r="P13" i="7"/>
  <c r="R13" i="7"/>
  <c r="S13" i="7"/>
  <c r="T13" i="7"/>
  <c r="O14" i="7"/>
  <c r="P14" i="7"/>
  <c r="R14" i="7"/>
  <c r="S14" i="7"/>
  <c r="T14" i="7"/>
  <c r="O15" i="7"/>
  <c r="P15" i="7"/>
  <c r="R15" i="7"/>
  <c r="S15" i="7"/>
  <c r="T15" i="7"/>
  <c r="O16" i="7"/>
  <c r="P16" i="7"/>
  <c r="R16" i="7"/>
  <c r="S16" i="7"/>
  <c r="T16" i="7"/>
  <c r="O17" i="7"/>
  <c r="P17" i="7"/>
  <c r="R17" i="7"/>
  <c r="S17" i="7"/>
  <c r="T17" i="7"/>
  <c r="O18" i="7"/>
  <c r="P18" i="7"/>
  <c r="R18" i="7"/>
  <c r="S18" i="7"/>
  <c r="T18" i="7"/>
  <c r="O19" i="7"/>
  <c r="P19" i="7"/>
  <c r="R19" i="7"/>
  <c r="S19" i="7"/>
  <c r="T19" i="7"/>
  <c r="R20" i="7"/>
  <c r="S20" i="7"/>
  <c r="T20" i="7"/>
  <c r="R21" i="7"/>
  <c r="S21" i="7"/>
  <c r="T21" i="7"/>
  <c r="R22" i="7"/>
  <c r="S22" i="7"/>
  <c r="T22" i="7"/>
  <c r="R23" i="7"/>
  <c r="S23" i="7"/>
  <c r="T23" i="7"/>
  <c r="R24" i="7"/>
  <c r="S24" i="7"/>
  <c r="T24" i="7"/>
  <c r="R25" i="7"/>
  <c r="S25" i="7"/>
  <c r="T25" i="7"/>
  <c r="R26" i="7"/>
  <c r="S26" i="7"/>
  <c r="T26" i="7"/>
  <c r="R27" i="7"/>
  <c r="S27" i="7"/>
  <c r="T27" i="7"/>
  <c r="R28" i="7"/>
  <c r="S28" i="7"/>
  <c r="T28" i="7"/>
  <c r="R29" i="7"/>
  <c r="S29" i="7"/>
  <c r="T29" i="7"/>
  <c r="R30" i="7"/>
  <c r="S30" i="7"/>
  <c r="T30" i="7"/>
  <c r="R31" i="7"/>
  <c r="S31" i="7"/>
  <c r="T31" i="7"/>
  <c r="R32" i="7"/>
  <c r="S32" i="7"/>
  <c r="T32" i="7"/>
  <c r="R33" i="7"/>
  <c r="S33" i="7"/>
  <c r="T33" i="7"/>
  <c r="R34" i="7"/>
  <c r="S34" i="7"/>
  <c r="T34" i="7"/>
  <c r="R35" i="7"/>
  <c r="S35" i="7"/>
  <c r="T35" i="7"/>
  <c r="T36" i="7"/>
  <c r="B5" i="8"/>
  <c r="B6" i="8"/>
  <c r="D6" i="8"/>
  <c r="E6" i="8"/>
  <c r="B7" i="8"/>
  <c r="D7" i="8"/>
  <c r="E7" i="8"/>
  <c r="B8" i="8"/>
  <c r="D8" i="8"/>
  <c r="E8" i="8"/>
  <c r="B9" i="8"/>
  <c r="D9" i="8"/>
  <c r="E9" i="8"/>
  <c r="B10" i="8"/>
  <c r="D10" i="8"/>
  <c r="E10" i="8"/>
  <c r="B11" i="8"/>
  <c r="D11" i="8"/>
  <c r="E11" i="8"/>
  <c r="B12" i="8"/>
  <c r="D12" i="8"/>
  <c r="E12" i="8"/>
  <c r="B13" i="8"/>
  <c r="D13" i="8"/>
  <c r="E13" i="8"/>
  <c r="B14" i="8"/>
  <c r="D14" i="8"/>
  <c r="E14" i="8"/>
  <c r="B15" i="8"/>
  <c r="D15" i="8"/>
  <c r="E15" i="8"/>
  <c r="B16" i="8"/>
  <c r="D16" i="8"/>
  <c r="E16" i="8"/>
  <c r="B17" i="8"/>
  <c r="D17" i="8"/>
  <c r="E17" i="8"/>
  <c r="B18" i="8"/>
  <c r="D18" i="8"/>
  <c r="E18" i="8"/>
  <c r="B19" i="8"/>
  <c r="D19" i="8"/>
  <c r="E19" i="8"/>
  <c r="D20" i="8"/>
  <c r="E20" i="8"/>
  <c r="D21" i="8"/>
  <c r="E21" i="8"/>
  <c r="D22" i="8"/>
  <c r="E22" i="8"/>
  <c r="D23" i="8"/>
  <c r="E23" i="8"/>
  <c r="D24" i="8"/>
  <c r="E24" i="8"/>
  <c r="D25" i="8"/>
  <c r="E25" i="8"/>
  <c r="D26" i="8"/>
  <c r="E26" i="8"/>
  <c r="D27" i="8"/>
  <c r="E27" i="8"/>
  <c r="D28" i="8"/>
  <c r="E28" i="8"/>
  <c r="D29" i="8"/>
  <c r="E29" i="8"/>
  <c r="D30" i="8"/>
  <c r="E30" i="8"/>
  <c r="D31" i="8"/>
  <c r="E31" i="8"/>
  <c r="D32" i="8"/>
  <c r="E32" i="8"/>
  <c r="D33" i="8"/>
  <c r="E33" i="8"/>
  <c r="D34" i="8"/>
  <c r="E34" i="8"/>
  <c r="D35" i="8"/>
  <c r="E35" i="8"/>
  <c r="O4" i="6"/>
  <c r="O5" i="6"/>
  <c r="P5" i="6"/>
  <c r="T5" i="6"/>
  <c r="O6" i="6"/>
  <c r="P6" i="6"/>
  <c r="R6" i="6"/>
  <c r="S6" i="6"/>
  <c r="T6" i="6"/>
  <c r="O7" i="6"/>
  <c r="P7" i="6"/>
  <c r="R7" i="6"/>
  <c r="S7" i="6"/>
  <c r="T7" i="6"/>
  <c r="O8" i="6"/>
  <c r="P8" i="6"/>
  <c r="R8" i="6"/>
  <c r="S8" i="6"/>
  <c r="T8" i="6"/>
  <c r="O9" i="6"/>
  <c r="P9" i="6"/>
  <c r="R9" i="6"/>
  <c r="S9" i="6"/>
  <c r="T9" i="6"/>
  <c r="O10" i="6"/>
  <c r="P10" i="6"/>
  <c r="R10" i="6"/>
  <c r="S10" i="6"/>
  <c r="T10" i="6"/>
  <c r="O11" i="6"/>
  <c r="P11" i="6"/>
  <c r="R11" i="6"/>
  <c r="S11" i="6"/>
  <c r="T11" i="6"/>
  <c r="O12" i="6"/>
  <c r="P12" i="6"/>
  <c r="R12" i="6"/>
  <c r="S12" i="6"/>
  <c r="T12" i="6"/>
  <c r="O13" i="6"/>
  <c r="P13" i="6"/>
  <c r="R13" i="6"/>
  <c r="S13" i="6"/>
  <c r="T13" i="6"/>
  <c r="O14" i="6"/>
  <c r="P14" i="6"/>
  <c r="R14" i="6"/>
  <c r="S14" i="6"/>
  <c r="T14" i="6"/>
  <c r="O15" i="6"/>
  <c r="P15" i="6"/>
  <c r="R15" i="6"/>
  <c r="S15" i="6"/>
  <c r="T15" i="6"/>
  <c r="O16" i="6"/>
  <c r="P16" i="6"/>
  <c r="R16" i="6"/>
  <c r="S16" i="6"/>
  <c r="T16" i="6"/>
  <c r="O17" i="6"/>
  <c r="P17" i="6"/>
  <c r="R17" i="6"/>
  <c r="S17" i="6"/>
  <c r="T17" i="6"/>
  <c r="O18" i="6"/>
  <c r="P18" i="6"/>
  <c r="R18" i="6"/>
  <c r="S18" i="6"/>
  <c r="T18" i="6"/>
  <c r="O19" i="6"/>
  <c r="P19" i="6"/>
  <c r="R19" i="6"/>
  <c r="S19" i="6"/>
  <c r="T19" i="6"/>
  <c r="R20" i="6"/>
  <c r="S20" i="6"/>
  <c r="T20" i="6"/>
  <c r="R21" i="6"/>
  <c r="S21" i="6"/>
  <c r="T21" i="6"/>
  <c r="R22" i="6"/>
  <c r="S22" i="6"/>
  <c r="T22" i="6"/>
  <c r="R23" i="6"/>
  <c r="S23" i="6"/>
  <c r="T23" i="6"/>
  <c r="R24" i="6"/>
  <c r="S24" i="6"/>
  <c r="T24" i="6"/>
  <c r="R25" i="6"/>
  <c r="S25" i="6"/>
  <c r="T25" i="6"/>
  <c r="R26" i="6"/>
  <c r="S26" i="6"/>
  <c r="T26" i="6"/>
  <c r="R27" i="6"/>
  <c r="S27" i="6"/>
  <c r="T27" i="6"/>
  <c r="R28" i="6"/>
  <c r="S28" i="6"/>
  <c r="T28" i="6"/>
  <c r="R29" i="6"/>
  <c r="S29" i="6"/>
  <c r="T29" i="6"/>
  <c r="R30" i="6"/>
  <c r="S30" i="6"/>
  <c r="T30" i="6"/>
  <c r="R31" i="6"/>
  <c r="S31" i="6"/>
  <c r="T31" i="6"/>
  <c r="R32" i="6"/>
  <c r="S32" i="6"/>
  <c r="T32" i="6"/>
  <c r="R33" i="6"/>
  <c r="S33" i="6"/>
  <c r="T33" i="6"/>
  <c r="R34" i="6"/>
  <c r="S34" i="6"/>
  <c r="T34" i="6"/>
  <c r="R35" i="6"/>
  <c r="S35" i="6"/>
  <c r="T35" i="6"/>
  <c r="T36" i="6"/>
</calcChain>
</file>

<file path=xl/comments1.xml><?xml version="1.0" encoding="utf-8"?>
<comments xmlns="http://schemas.openxmlformats.org/spreadsheetml/2006/main">
  <authors>
    <author>End User</author>
    <author>Jamie Evans</author>
  </authors>
  <commentList>
    <comment ref="K6" authorId="0" shapeId="0">
      <text>
        <r>
          <rPr>
            <sz val="8"/>
            <color indexed="81"/>
            <rFont val="Tahoma"/>
            <family val="2"/>
          </rPr>
          <t>-measured from existing grade (down is positive)
-if the grade is to be raised by filling then the depth of fill is input as negative (ie. For 5 feet of fill input -5)</t>
        </r>
      </text>
    </comment>
    <comment ref="V6" authorId="0" shapeId="0">
      <text>
        <r>
          <rPr>
            <sz val="8"/>
            <color indexed="81"/>
            <rFont val="Tahoma"/>
            <family val="2"/>
          </rPr>
          <t xml:space="preserve">Input:
   1 - safety hammer/cat-head
   2 - auto hammer (CME)
This is used in correcting for energy efficiency for SPT.  This program uses correction factor of 1.0 for a  safety hammer/cat-head and 1.4 for auto hammer (CME). </t>
        </r>
      </text>
    </comment>
    <comment ref="E7" authorId="0" shapeId="0">
      <text>
        <r>
          <rPr>
            <sz val="8"/>
            <color indexed="81"/>
            <rFont val="Tahoma"/>
            <family val="2"/>
          </rPr>
          <t xml:space="preserve">Peak Ground Acceleration in g at the ground surface including any amplification or deamplification.
*NOTE: according to IBC2000, the design PGA is determined as:
  - </t>
        </r>
        <r>
          <rPr>
            <sz val="10"/>
            <color indexed="81"/>
            <rFont val="Tahoma"/>
            <family val="2"/>
          </rPr>
          <t>S</t>
        </r>
        <r>
          <rPr>
            <vertAlign val="subscript"/>
            <sz val="10"/>
            <color indexed="81"/>
            <rFont val="Tahoma"/>
            <family val="2"/>
          </rPr>
          <t>DS</t>
        </r>
        <r>
          <rPr>
            <sz val="10"/>
            <color indexed="81"/>
            <rFont val="Tahoma"/>
            <family val="2"/>
          </rPr>
          <t>/2.5</t>
        </r>
        <r>
          <rPr>
            <sz val="8"/>
            <color indexed="81"/>
            <rFont val="Tahoma"/>
            <family val="2"/>
          </rPr>
          <t>,
  - 2/3 PGA from USGS webpage 
    (modified for soil type), or
  - 2/3 of the PGA from site specific    
    study.</t>
        </r>
        <r>
          <rPr>
            <sz val="8"/>
            <color indexed="81"/>
            <rFont val="Tahoma"/>
            <family val="2"/>
          </rPr>
          <t xml:space="preserve">  </t>
        </r>
      </text>
    </comment>
    <comment ref="K7" authorId="0" shapeId="0">
      <text>
        <r>
          <rPr>
            <sz val="8"/>
            <color indexed="81"/>
            <rFont val="Tahoma"/>
            <family val="2"/>
          </rPr>
          <t xml:space="preserve">this load is assumed to be constant throughout the depth of the soil profile
</t>
        </r>
      </text>
    </comment>
    <comment ref="V7" authorId="0" shapeId="0">
      <text>
        <r>
          <rPr>
            <sz val="8"/>
            <color indexed="81"/>
            <rFont val="Tahoma"/>
            <family val="2"/>
          </rPr>
          <t xml:space="preserve">This is used in correcting for the diameter of the borehole for SPT.
</t>
        </r>
        <r>
          <rPr>
            <u/>
            <sz val="8"/>
            <color indexed="81"/>
            <rFont val="Tahoma"/>
            <family val="2"/>
          </rPr>
          <t>NCEER recommendations</t>
        </r>
        <r>
          <rPr>
            <sz val="8"/>
            <color indexed="81"/>
            <rFont val="Tahoma"/>
            <family val="2"/>
          </rPr>
          <t xml:space="preserve"> 
2.5"-4.5" dia.          C</t>
        </r>
        <r>
          <rPr>
            <vertAlign val="subscript"/>
            <sz val="8"/>
            <color indexed="81"/>
            <rFont val="Tahoma"/>
            <family val="2"/>
          </rPr>
          <t>B</t>
        </r>
        <r>
          <rPr>
            <sz val="8"/>
            <color indexed="81"/>
            <rFont val="Tahoma"/>
            <family val="2"/>
          </rPr>
          <t>=1.0
4.5"-6" dia.             C</t>
        </r>
        <r>
          <rPr>
            <vertAlign val="subscript"/>
            <sz val="8"/>
            <color indexed="81"/>
            <rFont val="Tahoma"/>
            <family val="2"/>
          </rPr>
          <t>B</t>
        </r>
        <r>
          <rPr>
            <sz val="8"/>
            <color indexed="81"/>
            <rFont val="Tahoma"/>
            <family val="2"/>
          </rPr>
          <t>=1.05
6"-8" dia.                C</t>
        </r>
        <r>
          <rPr>
            <vertAlign val="subscript"/>
            <sz val="8"/>
            <color indexed="81"/>
            <rFont val="Tahoma"/>
            <family val="2"/>
          </rPr>
          <t>B</t>
        </r>
        <r>
          <rPr>
            <sz val="8"/>
            <color indexed="81"/>
            <rFont val="Tahoma"/>
            <family val="2"/>
          </rPr>
          <t>=1.15</t>
        </r>
      </text>
    </comment>
    <comment ref="E8" authorId="0" shapeId="0">
      <text>
        <r>
          <rPr>
            <sz val="8"/>
            <color indexed="81"/>
            <rFont val="Tahoma"/>
            <family val="2"/>
          </rPr>
          <t xml:space="preserve">measured from existing ground surface (down is positive)
</t>
        </r>
      </text>
    </comment>
    <comment ref="K8" authorId="0" shapeId="0">
      <text>
        <r>
          <rPr>
            <sz val="8"/>
            <color indexed="81"/>
            <rFont val="Tahoma"/>
            <family val="2"/>
          </rPr>
          <t xml:space="preserve">measured from existing grade (down is positive)
</t>
        </r>
      </text>
    </comment>
    <comment ref="V8" authorId="0" shapeId="0">
      <text>
        <r>
          <rPr>
            <sz val="8"/>
            <color indexed="81"/>
            <rFont val="Tahoma"/>
            <family val="2"/>
          </rPr>
          <t xml:space="preserve">
Used Page 73 of Idriss and Boulanger (2008)
MCEER suggested:
Input:
   1 - standard sampler- constant  
          driving shoe and inside 
          diameter or with a liner
   2 - sampler w/o liners
This is used in correcting for the type of sampler used for SPT.  This program uses correction factors of 1.0 for a  standard sampler and 1.2 for samplers without liners. </t>
        </r>
      </text>
    </comment>
    <comment ref="E9" authorId="1" shapeId="0">
      <text>
        <r>
          <rPr>
            <sz val="8"/>
            <color indexed="81"/>
            <rFont val="Tahoma"/>
            <family val="2"/>
          </rPr>
          <t>if the liquefiable deposit is greater than several thousand years old the reduction factor K</t>
        </r>
        <r>
          <rPr>
            <vertAlign val="subscript"/>
            <sz val="8"/>
            <color indexed="81"/>
            <rFont val="Symbol"/>
            <family val="1"/>
          </rPr>
          <t xml:space="preserve">s </t>
        </r>
        <r>
          <rPr>
            <sz val="8"/>
            <color indexed="81"/>
            <rFont val="Tahoma"/>
            <family val="2"/>
          </rPr>
          <t>can be ignored, if the deposit is 2,000+ years old this program equates K</t>
        </r>
        <r>
          <rPr>
            <vertAlign val="subscript"/>
            <sz val="8"/>
            <color indexed="81"/>
            <rFont val="Symbol"/>
            <family val="1"/>
          </rPr>
          <t xml:space="preserve">s </t>
        </r>
        <r>
          <rPr>
            <sz val="8"/>
            <color indexed="81"/>
            <rFont val="Tahoma"/>
            <family val="2"/>
          </rPr>
          <t>to 1.0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9" authorId="0" shapeId="0">
      <text>
        <r>
          <rPr>
            <sz val="8"/>
            <color indexed="81"/>
            <rFont val="Tahoma"/>
            <family val="2"/>
          </rPr>
          <t xml:space="preserve">rog length:
3 &lt;        value = 0.75
3 - 4 m   value = 0.78
4 - 6 m   value = 0.85
6 - 10 m  value = 0.95
10-30 m   value = 1.00
&gt; 30m     value &lt; 1.0
</t>
        </r>
      </text>
    </comment>
    <comment ref="D14" authorId="0" shapeId="0">
      <text>
        <r>
          <rPr>
            <sz val="8"/>
            <color indexed="81"/>
            <rFont val="Tahoma"/>
            <family val="2"/>
          </rPr>
          <t>saturated unit weight</t>
        </r>
        <r>
          <rPr>
            <sz val="8"/>
            <color indexed="81"/>
            <rFont val="Tahoma"/>
            <family val="2"/>
          </rPr>
          <t xml:space="preserve">
-unit weight at each depth is assumed to extend from previous sample depth to indicated sample depth</t>
        </r>
      </text>
    </comment>
    <comment ref="G14" authorId="0" shapeId="0">
      <text>
        <r>
          <rPr>
            <sz val="8"/>
            <color indexed="81"/>
            <rFont val="Tahoma"/>
            <family val="2"/>
          </rPr>
          <t xml:space="preserve">If the PI and %fines are both &gt; than 15% the corrected "N-values" will be increased by 10%
</t>
        </r>
      </text>
    </comment>
    <comment ref="S14" authorId="0" shapeId="0">
      <text>
        <r>
          <rPr>
            <sz val="8"/>
            <color indexed="81"/>
            <rFont val="Tahoma"/>
            <family val="2"/>
          </rPr>
          <t xml:space="preserve">SPT N-values corrected for overburden pressure, energy ratio, borehole diameter, rod length, and sampler type
</t>
        </r>
      </text>
    </comment>
    <comment ref="U14" authorId="0" shapeId="0">
      <text>
        <r>
          <rPr>
            <sz val="8"/>
            <color indexed="81"/>
            <rFont val="Tahoma"/>
            <family val="2"/>
          </rPr>
          <t xml:space="preserve">Eq. (2.11)
</t>
        </r>
      </text>
    </comment>
    <comment ref="V14" authorId="0" shapeId="0">
      <text>
        <r>
          <rPr>
            <sz val="8"/>
            <color indexed="81"/>
            <rFont val="Tahoma"/>
            <family val="2"/>
          </rPr>
          <t xml:space="preserve">correction for high overburden pressures, can be taken as 1.0 if the age of liquefible deposit is &gt; 2000 years
</t>
        </r>
      </text>
    </comment>
    <comment ref="W14" authorId="0" shapeId="0">
      <text>
        <r>
          <rPr>
            <sz val="8"/>
            <color indexed="81"/>
            <rFont val="Tahoma"/>
            <family val="2"/>
          </rPr>
          <t>-CRR based on SPT N-values for magnitude 7.5</t>
        </r>
        <r>
          <rPr>
            <b/>
            <sz val="8"/>
            <color indexed="81"/>
            <rFont val="Tahoma"/>
            <family val="2"/>
          </rPr>
          <t xml:space="preserve">
-</t>
        </r>
        <r>
          <rPr>
            <sz val="8"/>
            <color indexed="81"/>
            <rFont val="Tahoma"/>
            <family val="2"/>
          </rPr>
          <t>for corrected N-values above 30 this value is limited to 0.5</t>
        </r>
      </text>
    </comment>
    <comment ref="X14" authorId="0" shapeId="0">
      <text>
        <r>
          <rPr>
            <sz val="8"/>
            <color indexed="81"/>
            <rFont val="Tahoma"/>
            <family val="2"/>
          </rPr>
          <t>magnitude scaling factor - correction for specified magnitude
Eq. No. 2.19&amp;2.21 for sand/silt &amp; Eq. in Fig 2.5 for clay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Y14" authorId="0" shapeId="0">
      <text>
        <r>
          <rPr>
            <sz val="8"/>
            <color indexed="81"/>
            <rFont val="Tahoma"/>
            <family val="2"/>
          </rPr>
          <t>-CRR based on SPT N-values for magnitude 7.5</t>
        </r>
        <r>
          <rPr>
            <b/>
            <sz val="8"/>
            <color indexed="81"/>
            <rFont val="Tahoma"/>
            <family val="2"/>
          </rPr>
          <t xml:space="preserve">
-</t>
        </r>
        <r>
          <rPr>
            <sz val="8"/>
            <color indexed="81"/>
            <rFont val="Tahoma"/>
            <family val="2"/>
          </rPr>
          <t>for corrected N-values above 30 this value is limited to 0.5</t>
        </r>
      </text>
    </comment>
  </commentList>
</comments>
</file>

<file path=xl/sharedStrings.xml><?xml version="1.0" encoding="utf-8"?>
<sst xmlns="http://schemas.openxmlformats.org/spreadsheetml/2006/main" count="164" uniqueCount="116">
  <si>
    <t>Field "N"</t>
  </si>
  <si>
    <r>
      <t>(N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)</t>
    </r>
    <r>
      <rPr>
        <vertAlign val="subscript"/>
        <sz val="10"/>
        <rFont val="Arial"/>
        <family val="2"/>
      </rPr>
      <t>60</t>
    </r>
  </si>
  <si>
    <t xml:space="preserve">ft  </t>
  </si>
  <si>
    <r>
      <t>g</t>
    </r>
    <r>
      <rPr>
        <vertAlign val="subscript"/>
        <sz val="10"/>
        <rFont val="Arial"/>
        <family val="2"/>
      </rPr>
      <t>s</t>
    </r>
  </si>
  <si>
    <r>
      <t>s</t>
    </r>
    <r>
      <rPr>
        <vertAlign val="subscript"/>
        <sz val="10"/>
        <rFont val="Arial"/>
        <family val="2"/>
      </rPr>
      <t>vo</t>
    </r>
  </si>
  <si>
    <r>
      <t>s</t>
    </r>
    <r>
      <rPr>
        <sz val="10"/>
        <rFont val="Arial"/>
        <family val="2"/>
      </rPr>
      <t>'</t>
    </r>
    <r>
      <rPr>
        <vertAlign val="subscript"/>
        <sz val="10"/>
        <rFont val="Arial"/>
        <family val="2"/>
      </rPr>
      <t>vo</t>
    </r>
  </si>
  <si>
    <t xml:space="preserve">g  </t>
  </si>
  <si>
    <t>PGA =</t>
  </si>
  <si>
    <t>(ft)</t>
  </si>
  <si>
    <r>
      <t>(lb/ft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</si>
  <si>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(lb/ft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</si>
  <si>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Fines</t>
  </si>
  <si>
    <t>%</t>
  </si>
  <si>
    <t>(bpf)</t>
  </si>
  <si>
    <r>
      <t>Moment Magnitude, M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 xml:space="preserve"> =</t>
    </r>
    <r>
      <rPr>
        <sz val="10"/>
        <rFont val="Arial"/>
        <family val="2"/>
      </rPr>
      <t xml:space="preserve"> </t>
    </r>
  </si>
  <si>
    <t>Required Input Data</t>
  </si>
  <si>
    <r>
      <t>r</t>
    </r>
    <r>
      <rPr>
        <vertAlign val="subscript"/>
        <sz val="10"/>
        <rFont val="Arial"/>
        <family val="2"/>
      </rPr>
      <t>d</t>
    </r>
  </si>
  <si>
    <r>
      <t>(N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)</t>
    </r>
    <r>
      <rPr>
        <vertAlign val="subscript"/>
        <sz val="10"/>
        <rFont val="Arial"/>
        <family val="2"/>
      </rPr>
      <t>60cs</t>
    </r>
  </si>
  <si>
    <t>PI</t>
  </si>
  <si>
    <t>assumed depth to groundwater =</t>
  </si>
  <si>
    <t>depth to groundwater during drilling =</t>
  </si>
  <si>
    <r>
      <t>CRR</t>
    </r>
    <r>
      <rPr>
        <vertAlign val="subscript"/>
        <sz val="10"/>
        <rFont val="Arial"/>
        <family val="2"/>
      </rPr>
      <t>7.5</t>
    </r>
  </si>
  <si>
    <t>CSR</t>
  </si>
  <si>
    <t>*note applicible to sloping ground surfaces greater than about 6%*</t>
  </si>
  <si>
    <t>Cyclic Stress Ratio</t>
  </si>
  <si>
    <t>estimated age of sand deposit =</t>
  </si>
  <si>
    <t>years</t>
  </si>
  <si>
    <t>MSF</t>
  </si>
  <si>
    <r>
      <t>K</t>
    </r>
    <r>
      <rPr>
        <vertAlign val="subscript"/>
        <sz val="10"/>
        <rFont val="Symbol"/>
        <family val="1"/>
      </rPr>
      <t>s</t>
    </r>
  </si>
  <si>
    <t>Analysis based on SPT Blow Counts</t>
  </si>
  <si>
    <t>sample depth</t>
  </si>
  <si>
    <t>1=CL,ML,CH</t>
  </si>
  <si>
    <t>2=SP,SM,SC</t>
  </si>
  <si>
    <t>Simplified Procedure - Standard Penetration Test Analysis</t>
  </si>
  <si>
    <t>ft</t>
  </si>
  <si>
    <t>uniform floor load =</t>
  </si>
  <si>
    <t>design</t>
  </si>
  <si>
    <r>
      <t>lb/ft</t>
    </r>
    <r>
      <rPr>
        <vertAlign val="superscript"/>
        <sz val="10"/>
        <rFont val="Arial"/>
        <family val="2"/>
      </rPr>
      <t>2</t>
    </r>
  </si>
  <si>
    <t>hammer type =</t>
  </si>
  <si>
    <t>depth to design grade =</t>
  </si>
  <si>
    <t>borehole diameter =</t>
  </si>
  <si>
    <t>inches</t>
  </si>
  <si>
    <r>
      <t>C</t>
    </r>
    <r>
      <rPr>
        <vertAlign val="subscript"/>
        <sz val="10"/>
        <rFont val="Arial"/>
        <family val="2"/>
      </rPr>
      <t>E</t>
    </r>
    <r>
      <rPr>
        <sz val="10"/>
        <rFont val="Arial"/>
        <family val="2"/>
      </rPr>
      <t xml:space="preserve"> =</t>
    </r>
  </si>
  <si>
    <r>
      <t>C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 xml:space="preserve"> =</t>
    </r>
  </si>
  <si>
    <t>CRR=Cyclic Resistance Ratio</t>
  </si>
  <si>
    <t>CSR=Cyclic Stress Ratio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</si>
  <si>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</si>
  <si>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</si>
  <si>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</si>
  <si>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</si>
  <si>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</si>
  <si>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</si>
  <si>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</si>
  <si>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</si>
  <si>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</si>
  <si>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</si>
  <si>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</si>
  <si>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</si>
  <si>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</si>
  <si>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</si>
  <si>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</si>
  <si>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</si>
  <si>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</si>
  <si>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</si>
  <si>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</si>
  <si>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</si>
  <si>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r>
      <t>C</t>
    </r>
    <r>
      <rPr>
        <vertAlign val="subscript"/>
        <sz val="10"/>
        <rFont val="Arial"/>
        <family val="2"/>
      </rPr>
      <t>N</t>
    </r>
  </si>
  <si>
    <t>1 TSF = 96 kPa</t>
  </si>
  <si>
    <t>1 TSF = 2000 lb/ft^2</t>
  </si>
  <si>
    <t>2000 lb/ft^2 = 96 kPa</t>
  </si>
  <si>
    <t>100 kPa = 200000/96 lb/ft^2</t>
  </si>
  <si>
    <t>Rod Length =</t>
  </si>
  <si>
    <t>m</t>
  </si>
  <si>
    <t>`</t>
  </si>
  <si>
    <r>
      <t>C</t>
    </r>
    <r>
      <rPr>
        <vertAlign val="subscript"/>
        <sz val="10"/>
        <rFont val="Arial"/>
        <family val="2"/>
      </rPr>
      <t>R</t>
    </r>
  </si>
  <si>
    <t>Depth</t>
  </si>
  <si>
    <t>(m)</t>
  </si>
  <si>
    <t>SPT</t>
  </si>
  <si>
    <t>(tsf)</t>
  </si>
  <si>
    <t>Hammer energy ratio =</t>
  </si>
  <si>
    <t>Rod length above ground</t>
  </si>
  <si>
    <t>Correction Factors</t>
  </si>
  <si>
    <r>
      <t>C</t>
    </r>
    <r>
      <rPr>
        <vertAlign val="subscript"/>
        <sz val="10"/>
        <rFont val="Arial"/>
        <family val="2"/>
      </rPr>
      <t>E</t>
    </r>
  </si>
  <si>
    <r>
      <t>C</t>
    </r>
    <r>
      <rPr>
        <vertAlign val="subscript"/>
        <sz val="10"/>
        <rFont val="Arial"/>
        <family val="2"/>
      </rPr>
      <t>S</t>
    </r>
  </si>
  <si>
    <r>
      <t>C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</t>
    </r>
  </si>
  <si>
    <r>
      <t>C</t>
    </r>
    <r>
      <rPr>
        <vertAlign val="subscript"/>
        <sz val="10"/>
        <rFont val="Arial"/>
        <family val="2"/>
      </rPr>
      <t>B</t>
    </r>
  </si>
  <si>
    <t>Eq. 2.15(a and c)</t>
  </si>
  <si>
    <t>V</t>
  </si>
  <si>
    <t>W</t>
  </si>
  <si>
    <t>X</t>
  </si>
  <si>
    <t>Y</t>
  </si>
  <si>
    <t>Z</t>
  </si>
  <si>
    <r>
      <t>Δ(N</t>
    </r>
    <r>
      <rPr>
        <vertAlign val="subscript"/>
        <sz val="9"/>
        <rFont val="Arial"/>
        <family val="2"/>
      </rPr>
      <t>1</t>
    </r>
    <r>
      <rPr>
        <sz val="9"/>
        <rFont val="Arial"/>
        <family val="2"/>
      </rPr>
      <t>)</t>
    </r>
    <r>
      <rPr>
        <vertAlign val="subscript"/>
        <sz val="9"/>
        <rFont val="Arial"/>
        <family val="2"/>
      </rPr>
      <t>60</t>
    </r>
    <r>
      <rPr>
        <sz val="9"/>
        <rFont val="Arial"/>
        <family val="2"/>
      </rPr>
      <t xml:space="preserve"> for fine content (Triggering) Eq. (2.23)</t>
    </r>
  </si>
  <si>
    <t>U</t>
  </si>
  <si>
    <t>Eq. (2.14)</t>
  </si>
  <si>
    <t>for M=7.5 and 1atm</t>
  </si>
  <si>
    <t>Eq. 2.16</t>
  </si>
  <si>
    <t>CH</t>
  </si>
  <si>
    <t>ML</t>
  </si>
  <si>
    <t>SM</t>
  </si>
  <si>
    <t>SP-SM</t>
  </si>
  <si>
    <t>SP</t>
  </si>
  <si>
    <t>correctred</t>
  </si>
  <si>
    <t>FS</t>
  </si>
  <si>
    <t>Liquefaction Spreadsheet - based on Boulanger and Idriss (2014)</t>
  </si>
  <si>
    <t>Field SPT</t>
  </si>
  <si>
    <r>
      <t>(N</t>
    </r>
    <r>
      <rPr>
        <vertAlign val="subscript"/>
        <sz val="9"/>
        <rFont val="Arial"/>
        <family val="2"/>
      </rPr>
      <t>1</t>
    </r>
    <r>
      <rPr>
        <sz val="9"/>
        <rFont val="Arial"/>
        <family val="2"/>
      </rPr>
      <t>)</t>
    </r>
    <r>
      <rPr>
        <vertAlign val="subscript"/>
        <sz val="9"/>
        <rFont val="Arial"/>
        <family val="2"/>
      </rPr>
      <t>60cs</t>
    </r>
    <r>
      <rPr>
        <sz val="9"/>
        <rFont val="Arial"/>
        <family val="2"/>
      </rPr>
      <t xml:space="preserve"> </t>
    </r>
  </si>
  <si>
    <t>Water Table</t>
  </si>
  <si>
    <t>Factor of Safety</t>
  </si>
  <si>
    <t>SF</t>
  </si>
  <si>
    <t>Questions - Email: spezeshk@memphis.edu, Shahram Pezeshk, Professor at the University of Memphis, Dept. of Civil Enginering</t>
  </si>
  <si>
    <t>To run, need to go to Option-&gt;Formulas-&gt;Enable Iteration Calculations with 0.00001 tolerance and 100 iterations.</t>
  </si>
  <si>
    <t>Only need input blue highlighted cells</t>
  </si>
  <si>
    <t>page 73 of Idriss and Boulanger (2008)</t>
  </si>
  <si>
    <r>
      <t>C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 xml:space="preserve"> </t>
    </r>
  </si>
  <si>
    <t>SPT sampler (Y/N)=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</si>
</sst>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"/>
  </numFmts>
  <fonts count="25" x14ac:knownFonts="1">
    <font>
      <sz val="10"/>
      <name val="Arial"/>
    </font>
    <font>
      <b/>
      <sz val="12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sz val="10"/>
      <name val="Symbol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vertAlign val="subscript"/>
      <sz val="8"/>
      <color indexed="81"/>
      <name val="Symbol"/>
      <family val="1"/>
    </font>
    <font>
      <vertAlign val="subscript"/>
      <sz val="10"/>
      <name val="Symbol"/>
      <family val="1"/>
    </font>
    <font>
      <b/>
      <sz val="16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color indexed="81"/>
      <name val="Tahoma"/>
      <family val="2"/>
    </font>
    <font>
      <vertAlign val="subscript"/>
      <sz val="10"/>
      <color indexed="81"/>
      <name val="Tahoma"/>
      <family val="2"/>
    </font>
    <font>
      <u/>
      <sz val="8"/>
      <color indexed="81"/>
      <name val="Tahoma"/>
      <family val="2"/>
    </font>
    <font>
      <vertAlign val="subscript"/>
      <sz val="8"/>
      <color indexed="81"/>
      <name val="Tahoma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vertAlign val="subscript"/>
      <sz val="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/>
      <bottom/>
      <diagonal/>
    </border>
  </borders>
  <cellStyleXfs count="3">
    <xf numFmtId="0" fontId="0" fillId="0" borderId="0"/>
    <xf numFmtId="0" fontId="3" fillId="0" borderId="0"/>
    <xf numFmtId="0" fontId="23" fillId="6" borderId="19" applyNumberFormat="0" applyAlignment="0" applyProtection="0"/>
  </cellStyleXfs>
  <cellXfs count="10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/>
    <xf numFmtId="2" fontId="0" fillId="0" borderId="0" xfId="0" applyNumberFormat="1" applyAlignment="1">
      <alignment horizontal="center"/>
    </xf>
    <xf numFmtId="0" fontId="8" fillId="0" borderId="0" xfId="0" applyFont="1"/>
    <xf numFmtId="164" fontId="0" fillId="0" borderId="0" xfId="0" applyNumberFormat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left"/>
    </xf>
    <xf numFmtId="0" fontId="0" fillId="0" borderId="5" xfId="0" applyBorder="1"/>
    <xf numFmtId="0" fontId="0" fillId="0" borderId="0" xfId="0" applyAlignment="1">
      <alignment horizontal="left"/>
    </xf>
    <xf numFmtId="2" fontId="0" fillId="0" borderId="0" xfId="0" applyNumberFormat="1" applyAlignment="1">
      <alignment horizontal="center" shrinkToFit="1"/>
    </xf>
    <xf numFmtId="2" fontId="0" fillId="0" borderId="0" xfId="0" applyNumberFormat="1"/>
    <xf numFmtId="166" fontId="0" fillId="0" borderId="0" xfId="0" applyNumberFormat="1"/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0" fillId="0" borderId="0" xfId="0" applyNumberFormat="1"/>
    <xf numFmtId="0" fontId="3" fillId="0" borderId="3" xfId="0" applyFont="1" applyBorder="1" applyAlignment="1">
      <alignment horizontal="center"/>
    </xf>
    <xf numFmtId="2" fontId="0" fillId="4" borderId="0" xfId="0" applyNumberFormat="1" applyFill="1" applyAlignment="1">
      <alignment horizontal="center"/>
    </xf>
    <xf numFmtId="0" fontId="20" fillId="5" borderId="9" xfId="1" applyFont="1" applyFill="1" applyBorder="1" applyAlignment="1" applyProtection="1">
      <alignment horizontal="center"/>
    </xf>
    <xf numFmtId="2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12" xfId="0" applyBorder="1" applyAlignment="1">
      <alignment horizontal="center"/>
    </xf>
    <xf numFmtId="0" fontId="3" fillId="0" borderId="1" xfId="0" applyFont="1" applyBorder="1"/>
    <xf numFmtId="0" fontId="3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5" borderId="0" xfId="0" applyFill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4" borderId="0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" fontId="0" fillId="4" borderId="0" xfId="0" applyNumberForma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/>
    <xf numFmtId="0" fontId="0" fillId="0" borderId="15" xfId="0" applyBorder="1"/>
    <xf numFmtId="0" fontId="0" fillId="0" borderId="2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0" xfId="0" applyFill="1" applyBorder="1"/>
    <xf numFmtId="2" fontId="11" fillId="4" borderId="0" xfId="0" applyNumberFormat="1" applyFont="1" applyFill="1" applyBorder="1"/>
    <xf numFmtId="166" fontId="0" fillId="4" borderId="0" xfId="0" applyNumberFormat="1" applyFill="1" applyBorder="1"/>
    <xf numFmtId="2" fontId="12" fillId="4" borderId="0" xfId="0" applyNumberFormat="1" applyFont="1" applyFill="1" applyBorder="1"/>
    <xf numFmtId="2" fontId="0" fillId="4" borderId="0" xfId="0" applyNumberFormat="1" applyFill="1" applyBorder="1"/>
    <xf numFmtId="0" fontId="0" fillId="4" borderId="0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13" fillId="0" borderId="0" xfId="0" applyFont="1" applyFill="1" applyBorder="1"/>
    <xf numFmtId="0" fontId="19" fillId="0" borderId="5" xfId="0" applyFont="1" applyBorder="1" applyAlignment="1"/>
    <xf numFmtId="0" fontId="19" fillId="0" borderId="0" xfId="0" applyFont="1" applyBorder="1" applyAlignment="1"/>
    <xf numFmtId="0" fontId="0" fillId="4" borderId="0" xfId="0" applyFill="1"/>
    <xf numFmtId="0" fontId="0" fillId="4" borderId="0" xfId="0" applyFill="1" applyAlignment="1">
      <alignment horizontal="center"/>
    </xf>
    <xf numFmtId="2" fontId="0" fillId="4" borderId="0" xfId="0" applyNumberFormat="1" applyFill="1"/>
    <xf numFmtId="0" fontId="24" fillId="0" borderId="0" xfId="0" applyFont="1"/>
    <xf numFmtId="165" fontId="0" fillId="5" borderId="0" xfId="0" applyNumberFormat="1" applyFill="1" applyAlignment="1">
      <alignment horizontal="right"/>
    </xf>
    <xf numFmtId="0" fontId="3" fillId="7" borderId="0" xfId="0" applyFont="1" applyFill="1" applyAlignment="1">
      <alignment horizontal="center"/>
    </xf>
    <xf numFmtId="0" fontId="3" fillId="7" borderId="0" xfId="0" applyFont="1" applyFill="1" applyAlignment="1">
      <alignment horizontal="left"/>
    </xf>
    <xf numFmtId="0" fontId="21" fillId="3" borderId="2" xfId="0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1" fillId="3" borderId="12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3" fillId="6" borderId="20" xfId="2" applyBorder="1" applyAlignment="1">
      <alignment horizontal="center"/>
    </xf>
    <xf numFmtId="0" fontId="23" fillId="6" borderId="0" xfId="2" applyBorder="1" applyAlignment="1">
      <alignment horizontal="center"/>
    </xf>
    <xf numFmtId="0" fontId="23" fillId="6" borderId="20" xfId="2" applyBorder="1" applyAlignment="1">
      <alignment horizontal="center" vertical="center" wrapText="1"/>
    </xf>
    <xf numFmtId="0" fontId="23" fillId="6" borderId="0" xfId="2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</cellXfs>
  <cellStyles count="3">
    <cellStyle name="Check Cell" xfId="2" builtinId="23"/>
    <cellStyle name="Normal" xfId="0" builtinId="0"/>
    <cellStyle name="Normal 2" xfId="1"/>
  </cellStyles>
  <dxfs count="3">
    <dxf>
      <font>
        <color theme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51925722941021"/>
          <c:y val="7.2237612917697161E-2"/>
          <c:w val="0.65436221628684077"/>
          <c:h val="0.82028454822725416"/>
        </c:manualLayout>
      </c:layout>
      <c:scatterChart>
        <c:scatterStyle val="lineMarker"/>
        <c:varyColors val="0"/>
        <c:ser>
          <c:idx val="2"/>
          <c:order val="0"/>
          <c:tx>
            <c:strRef>
              <c:f>'SPT Graph'!$A$1</c:f>
              <c:strCache>
                <c:ptCount val="1"/>
                <c:pt idx="0">
                  <c:v>Field SPT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'SPT Graph'!$E$4:$E$43</c:f>
              <c:numCache>
                <c:formatCode>0.000</c:formatCode>
                <c:ptCount val="40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5</c:v>
                </c:pt>
                <c:pt idx="7">
                  <c:v>5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25</c:v>
                </c:pt>
                <c:pt idx="17">
                  <c:v>25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19</c:v>
                </c:pt>
                <c:pt idx="23">
                  <c:v>19</c:v>
                </c:pt>
                <c:pt idx="24">
                  <c:v>14</c:v>
                </c:pt>
                <c:pt idx="25">
                  <c:v>14</c:v>
                </c:pt>
                <c:pt idx="26">
                  <c:v>26</c:v>
                </c:pt>
                <c:pt idx="27">
                  <c:v>26</c:v>
                </c:pt>
                <c:pt idx="28">
                  <c:v>16</c:v>
                </c:pt>
                <c:pt idx="29">
                  <c:v>16</c:v>
                </c:pt>
                <c:pt idx="30">
                  <c:v>26</c:v>
                </c:pt>
                <c:pt idx="31">
                  <c:v>26</c:v>
                </c:pt>
                <c:pt idx="32">
                  <c:v>0</c:v>
                </c:pt>
              </c:numCache>
            </c:numRef>
          </c:xVal>
          <c:yVal>
            <c:numRef>
              <c:f>'SPT Graph'!$F$4:$F$43</c:f>
              <c:numCache>
                <c:formatCode>General</c:formatCode>
                <c:ptCount val="4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3.5</c:v>
                </c:pt>
                <c:pt idx="4">
                  <c:v>3.5</c:v>
                </c:pt>
                <c:pt idx="5">
                  <c:v>6</c:v>
                </c:pt>
                <c:pt idx="6">
                  <c:v>6</c:v>
                </c:pt>
                <c:pt idx="7">
                  <c:v>8.5</c:v>
                </c:pt>
                <c:pt idx="8">
                  <c:v>8.5</c:v>
                </c:pt>
                <c:pt idx="9">
                  <c:v>13.5</c:v>
                </c:pt>
                <c:pt idx="10">
                  <c:v>13.5</c:v>
                </c:pt>
                <c:pt idx="11">
                  <c:v>18.5</c:v>
                </c:pt>
                <c:pt idx="12">
                  <c:v>18.5</c:v>
                </c:pt>
                <c:pt idx="13">
                  <c:v>23.5</c:v>
                </c:pt>
                <c:pt idx="14">
                  <c:v>23.5</c:v>
                </c:pt>
                <c:pt idx="15">
                  <c:v>28.5</c:v>
                </c:pt>
                <c:pt idx="16">
                  <c:v>28.5</c:v>
                </c:pt>
                <c:pt idx="17">
                  <c:v>33.5</c:v>
                </c:pt>
                <c:pt idx="18">
                  <c:v>33.5</c:v>
                </c:pt>
                <c:pt idx="19">
                  <c:v>38.5</c:v>
                </c:pt>
                <c:pt idx="20">
                  <c:v>38.5</c:v>
                </c:pt>
                <c:pt idx="21">
                  <c:v>43.5</c:v>
                </c:pt>
                <c:pt idx="22">
                  <c:v>43.5</c:v>
                </c:pt>
                <c:pt idx="23">
                  <c:v>48.5</c:v>
                </c:pt>
                <c:pt idx="24">
                  <c:v>48.5</c:v>
                </c:pt>
                <c:pt idx="25">
                  <c:v>53.5</c:v>
                </c:pt>
                <c:pt idx="26">
                  <c:v>53.5</c:v>
                </c:pt>
                <c:pt idx="27">
                  <c:v>58.5</c:v>
                </c:pt>
                <c:pt idx="28">
                  <c:v>58.5</c:v>
                </c:pt>
                <c:pt idx="29">
                  <c:v>78.5</c:v>
                </c:pt>
                <c:pt idx="30">
                  <c:v>78.5</c:v>
                </c:pt>
                <c:pt idx="31">
                  <c:v>98.5</c:v>
                </c:pt>
                <c:pt idx="32">
                  <c:v>98.5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'SPT Graph'!$O$1</c:f>
              <c:strCache>
                <c:ptCount val="1"/>
                <c:pt idx="0">
                  <c:v>(N1)60cs 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'SPT Graph'!$S$4:$S$36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23.280302476719509</c:v>
                </c:pt>
                <c:pt idx="3">
                  <c:v>23.280302476719509</c:v>
                </c:pt>
                <c:pt idx="4">
                  <c:v>20.502390367107218</c:v>
                </c:pt>
                <c:pt idx="5">
                  <c:v>20.502390367107218</c:v>
                </c:pt>
                <c:pt idx="6">
                  <c:v>11.701004023525325</c:v>
                </c:pt>
                <c:pt idx="7">
                  <c:v>11.701004023525325</c:v>
                </c:pt>
                <c:pt idx="8">
                  <c:v>35.923905356185429</c:v>
                </c:pt>
                <c:pt idx="9">
                  <c:v>35.923905356185429</c:v>
                </c:pt>
                <c:pt idx="10">
                  <c:v>35.923905356185429</c:v>
                </c:pt>
                <c:pt idx="11">
                  <c:v>35.923905356185429</c:v>
                </c:pt>
                <c:pt idx="12">
                  <c:v>24.505940685039441</c:v>
                </c:pt>
                <c:pt idx="13">
                  <c:v>24.505940685039441</c:v>
                </c:pt>
                <c:pt idx="14">
                  <c:v>23.200318997444935</c:v>
                </c:pt>
                <c:pt idx="15">
                  <c:v>23.200318997444935</c:v>
                </c:pt>
                <c:pt idx="16">
                  <c:v>45.341981989408325</c:v>
                </c:pt>
                <c:pt idx="17">
                  <c:v>45.341981989408325</c:v>
                </c:pt>
                <c:pt idx="18">
                  <c:v>26.41474510577514</c:v>
                </c:pt>
                <c:pt idx="19">
                  <c:v>26.41474510577514</c:v>
                </c:pt>
                <c:pt idx="20">
                  <c:v>23.213820667318796</c:v>
                </c:pt>
                <c:pt idx="21">
                  <c:v>23.213820667318796</c:v>
                </c:pt>
                <c:pt idx="22">
                  <c:v>28.597003384222702</c:v>
                </c:pt>
                <c:pt idx="23">
                  <c:v>28.597003384222702</c:v>
                </c:pt>
                <c:pt idx="24">
                  <c:v>17.653700789223368</c:v>
                </c:pt>
                <c:pt idx="25">
                  <c:v>17.653700789223368</c:v>
                </c:pt>
                <c:pt idx="26">
                  <c:v>39.764012097332724</c:v>
                </c:pt>
                <c:pt idx="27">
                  <c:v>39.764012097332724</c:v>
                </c:pt>
                <c:pt idx="28">
                  <c:v>17.592144707887432</c:v>
                </c:pt>
                <c:pt idx="29">
                  <c:v>17.592144707887432</c:v>
                </c:pt>
                <c:pt idx="30">
                  <c:v>33.516660445696971</c:v>
                </c:pt>
                <c:pt idx="31">
                  <c:v>33.516660445696971</c:v>
                </c:pt>
                <c:pt idx="32">
                  <c:v>0</c:v>
                </c:pt>
              </c:numCache>
            </c:numRef>
          </c:xVal>
          <c:yVal>
            <c:numRef>
              <c:f>'SPT Graph'!$T$4:$T$36</c:f>
              <c:numCache>
                <c:formatCode>General</c:formatCode>
                <c:ptCount val="33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3.5</c:v>
                </c:pt>
                <c:pt idx="4">
                  <c:v>3.5</c:v>
                </c:pt>
                <c:pt idx="5">
                  <c:v>6</c:v>
                </c:pt>
                <c:pt idx="6">
                  <c:v>6</c:v>
                </c:pt>
                <c:pt idx="7">
                  <c:v>8.5</c:v>
                </c:pt>
                <c:pt idx="8">
                  <c:v>8.5</c:v>
                </c:pt>
                <c:pt idx="9">
                  <c:v>13.5</c:v>
                </c:pt>
                <c:pt idx="10">
                  <c:v>13.5</c:v>
                </c:pt>
                <c:pt idx="11">
                  <c:v>18.5</c:v>
                </c:pt>
                <c:pt idx="12">
                  <c:v>18.5</c:v>
                </c:pt>
                <c:pt idx="13">
                  <c:v>23.5</c:v>
                </c:pt>
                <c:pt idx="14">
                  <c:v>23.5</c:v>
                </c:pt>
                <c:pt idx="15">
                  <c:v>28.5</c:v>
                </c:pt>
                <c:pt idx="16">
                  <c:v>28.5</c:v>
                </c:pt>
                <c:pt idx="17">
                  <c:v>33.5</c:v>
                </c:pt>
                <c:pt idx="18">
                  <c:v>33.5</c:v>
                </c:pt>
                <c:pt idx="19">
                  <c:v>38.5</c:v>
                </c:pt>
                <c:pt idx="20">
                  <c:v>38.5</c:v>
                </c:pt>
                <c:pt idx="21">
                  <c:v>43.5</c:v>
                </c:pt>
                <c:pt idx="22">
                  <c:v>43.5</c:v>
                </c:pt>
                <c:pt idx="23">
                  <c:v>48.5</c:v>
                </c:pt>
                <c:pt idx="24">
                  <c:v>48.5</c:v>
                </c:pt>
                <c:pt idx="25">
                  <c:v>53.5</c:v>
                </c:pt>
                <c:pt idx="26">
                  <c:v>53.5</c:v>
                </c:pt>
                <c:pt idx="27">
                  <c:v>58.5</c:v>
                </c:pt>
                <c:pt idx="28">
                  <c:v>58.5</c:v>
                </c:pt>
                <c:pt idx="29">
                  <c:v>78.5</c:v>
                </c:pt>
                <c:pt idx="30">
                  <c:v>78.5</c:v>
                </c:pt>
                <c:pt idx="31">
                  <c:v>98.5</c:v>
                </c:pt>
                <c:pt idx="32">
                  <c:v>98.5</c:v>
                </c:pt>
              </c:numCache>
            </c:numRef>
          </c:yVal>
          <c:smooth val="0"/>
        </c:ser>
        <c:ser>
          <c:idx val="0"/>
          <c:order val="2"/>
          <c:tx>
            <c:strRef>
              <c:f>'SPT Graph'!$A$1</c:f>
              <c:strCache>
                <c:ptCount val="1"/>
                <c:pt idx="0">
                  <c:v>Field SPT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'SPT Graph'!$E$4:$E$43</c:f>
              <c:numCache>
                <c:formatCode>0.000</c:formatCode>
                <c:ptCount val="40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5</c:v>
                </c:pt>
                <c:pt idx="7">
                  <c:v>5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25</c:v>
                </c:pt>
                <c:pt idx="17">
                  <c:v>25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19</c:v>
                </c:pt>
                <c:pt idx="23">
                  <c:v>19</c:v>
                </c:pt>
                <c:pt idx="24">
                  <c:v>14</c:v>
                </c:pt>
                <c:pt idx="25">
                  <c:v>14</c:v>
                </c:pt>
                <c:pt idx="26">
                  <c:v>26</c:v>
                </c:pt>
                <c:pt idx="27">
                  <c:v>26</c:v>
                </c:pt>
                <c:pt idx="28">
                  <c:v>16</c:v>
                </c:pt>
                <c:pt idx="29">
                  <c:v>16</c:v>
                </c:pt>
                <c:pt idx="30">
                  <c:v>26</c:v>
                </c:pt>
                <c:pt idx="31">
                  <c:v>26</c:v>
                </c:pt>
                <c:pt idx="32">
                  <c:v>0</c:v>
                </c:pt>
              </c:numCache>
            </c:numRef>
          </c:xVal>
          <c:yVal>
            <c:numRef>
              <c:f>'SPT Graph'!$F$4:$F$43</c:f>
              <c:numCache>
                <c:formatCode>General</c:formatCode>
                <c:ptCount val="4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3.5</c:v>
                </c:pt>
                <c:pt idx="4">
                  <c:v>3.5</c:v>
                </c:pt>
                <c:pt idx="5">
                  <c:v>6</c:v>
                </c:pt>
                <c:pt idx="6">
                  <c:v>6</c:v>
                </c:pt>
                <c:pt idx="7">
                  <c:v>8.5</c:v>
                </c:pt>
                <c:pt idx="8">
                  <c:v>8.5</c:v>
                </c:pt>
                <c:pt idx="9">
                  <c:v>13.5</c:v>
                </c:pt>
                <c:pt idx="10">
                  <c:v>13.5</c:v>
                </c:pt>
                <c:pt idx="11">
                  <c:v>18.5</c:v>
                </c:pt>
                <c:pt idx="12">
                  <c:v>18.5</c:v>
                </c:pt>
                <c:pt idx="13">
                  <c:v>23.5</c:v>
                </c:pt>
                <c:pt idx="14">
                  <c:v>23.5</c:v>
                </c:pt>
                <c:pt idx="15">
                  <c:v>28.5</c:v>
                </c:pt>
                <c:pt idx="16">
                  <c:v>28.5</c:v>
                </c:pt>
                <c:pt idx="17">
                  <c:v>33.5</c:v>
                </c:pt>
                <c:pt idx="18">
                  <c:v>33.5</c:v>
                </c:pt>
                <c:pt idx="19">
                  <c:v>38.5</c:v>
                </c:pt>
                <c:pt idx="20">
                  <c:v>38.5</c:v>
                </c:pt>
                <c:pt idx="21">
                  <c:v>43.5</c:v>
                </c:pt>
                <c:pt idx="22">
                  <c:v>43.5</c:v>
                </c:pt>
                <c:pt idx="23">
                  <c:v>48.5</c:v>
                </c:pt>
                <c:pt idx="24">
                  <c:v>48.5</c:v>
                </c:pt>
                <c:pt idx="25">
                  <c:v>53.5</c:v>
                </c:pt>
                <c:pt idx="26">
                  <c:v>53.5</c:v>
                </c:pt>
                <c:pt idx="27">
                  <c:v>58.5</c:v>
                </c:pt>
                <c:pt idx="28">
                  <c:v>58.5</c:v>
                </c:pt>
                <c:pt idx="29">
                  <c:v>78.5</c:v>
                </c:pt>
                <c:pt idx="30">
                  <c:v>78.5</c:v>
                </c:pt>
                <c:pt idx="31">
                  <c:v>98.5</c:v>
                </c:pt>
                <c:pt idx="32">
                  <c:v>98.5</c:v>
                </c:pt>
              </c:numCache>
            </c:numRef>
          </c:yVal>
          <c:smooth val="0"/>
        </c:ser>
        <c:ser>
          <c:idx val="1"/>
          <c:order val="3"/>
          <c:tx>
            <c:strRef>
              <c:f>'SPT Graph'!$O$1</c:f>
              <c:strCache>
                <c:ptCount val="1"/>
                <c:pt idx="0">
                  <c:v>(N1)60cs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'SPT Graph'!$S$4:$S$36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23.280302476719509</c:v>
                </c:pt>
                <c:pt idx="3">
                  <c:v>23.280302476719509</c:v>
                </c:pt>
                <c:pt idx="4">
                  <c:v>20.502390367107218</c:v>
                </c:pt>
                <c:pt idx="5">
                  <c:v>20.502390367107218</c:v>
                </c:pt>
                <c:pt idx="6">
                  <c:v>11.701004023525325</c:v>
                </c:pt>
                <c:pt idx="7">
                  <c:v>11.701004023525325</c:v>
                </c:pt>
                <c:pt idx="8">
                  <c:v>35.923905356185429</c:v>
                </c:pt>
                <c:pt idx="9">
                  <c:v>35.923905356185429</c:v>
                </c:pt>
                <c:pt idx="10">
                  <c:v>35.923905356185429</c:v>
                </c:pt>
                <c:pt idx="11">
                  <c:v>35.923905356185429</c:v>
                </c:pt>
                <c:pt idx="12">
                  <c:v>24.505940685039441</c:v>
                </c:pt>
                <c:pt idx="13">
                  <c:v>24.505940685039441</c:v>
                </c:pt>
                <c:pt idx="14">
                  <c:v>23.200318997444935</c:v>
                </c:pt>
                <c:pt idx="15">
                  <c:v>23.200318997444935</c:v>
                </c:pt>
                <c:pt idx="16">
                  <c:v>45.341981989408325</c:v>
                </c:pt>
                <c:pt idx="17">
                  <c:v>45.341981989408325</c:v>
                </c:pt>
                <c:pt idx="18">
                  <c:v>26.41474510577514</c:v>
                </c:pt>
                <c:pt idx="19">
                  <c:v>26.41474510577514</c:v>
                </c:pt>
                <c:pt idx="20">
                  <c:v>23.213820667318796</c:v>
                </c:pt>
                <c:pt idx="21">
                  <c:v>23.213820667318796</c:v>
                </c:pt>
                <c:pt idx="22">
                  <c:v>28.597003384222702</c:v>
                </c:pt>
                <c:pt idx="23">
                  <c:v>28.597003384222702</c:v>
                </c:pt>
                <c:pt idx="24">
                  <c:v>17.653700789223368</c:v>
                </c:pt>
                <c:pt idx="25">
                  <c:v>17.653700789223368</c:v>
                </c:pt>
                <c:pt idx="26">
                  <c:v>39.764012097332724</c:v>
                </c:pt>
                <c:pt idx="27">
                  <c:v>39.764012097332724</c:v>
                </c:pt>
                <c:pt idx="28">
                  <c:v>17.592144707887432</c:v>
                </c:pt>
                <c:pt idx="29">
                  <c:v>17.592144707887432</c:v>
                </c:pt>
                <c:pt idx="30">
                  <c:v>33.516660445696971</c:v>
                </c:pt>
                <c:pt idx="31">
                  <c:v>33.516660445696971</c:v>
                </c:pt>
                <c:pt idx="32">
                  <c:v>0</c:v>
                </c:pt>
              </c:numCache>
            </c:numRef>
          </c:xVal>
          <c:yVal>
            <c:numRef>
              <c:f>'SPT Graph'!$T$4:$T$36</c:f>
              <c:numCache>
                <c:formatCode>General</c:formatCode>
                <c:ptCount val="33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3.5</c:v>
                </c:pt>
                <c:pt idx="4">
                  <c:v>3.5</c:v>
                </c:pt>
                <c:pt idx="5">
                  <c:v>6</c:v>
                </c:pt>
                <c:pt idx="6">
                  <c:v>6</c:v>
                </c:pt>
                <c:pt idx="7">
                  <c:v>8.5</c:v>
                </c:pt>
                <c:pt idx="8">
                  <c:v>8.5</c:v>
                </c:pt>
                <c:pt idx="9">
                  <c:v>13.5</c:v>
                </c:pt>
                <c:pt idx="10">
                  <c:v>13.5</c:v>
                </c:pt>
                <c:pt idx="11">
                  <c:v>18.5</c:v>
                </c:pt>
                <c:pt idx="12">
                  <c:v>18.5</c:v>
                </c:pt>
                <c:pt idx="13">
                  <c:v>23.5</c:v>
                </c:pt>
                <c:pt idx="14">
                  <c:v>23.5</c:v>
                </c:pt>
                <c:pt idx="15">
                  <c:v>28.5</c:v>
                </c:pt>
                <c:pt idx="16">
                  <c:v>28.5</c:v>
                </c:pt>
                <c:pt idx="17">
                  <c:v>33.5</c:v>
                </c:pt>
                <c:pt idx="18">
                  <c:v>33.5</c:v>
                </c:pt>
                <c:pt idx="19">
                  <c:v>38.5</c:v>
                </c:pt>
                <c:pt idx="20">
                  <c:v>38.5</c:v>
                </c:pt>
                <c:pt idx="21">
                  <c:v>43.5</c:v>
                </c:pt>
                <c:pt idx="22">
                  <c:v>43.5</c:v>
                </c:pt>
                <c:pt idx="23">
                  <c:v>48.5</c:v>
                </c:pt>
                <c:pt idx="24">
                  <c:v>48.5</c:v>
                </c:pt>
                <c:pt idx="25">
                  <c:v>53.5</c:v>
                </c:pt>
                <c:pt idx="26">
                  <c:v>53.5</c:v>
                </c:pt>
                <c:pt idx="27">
                  <c:v>58.5</c:v>
                </c:pt>
                <c:pt idx="28">
                  <c:v>58.5</c:v>
                </c:pt>
                <c:pt idx="29">
                  <c:v>78.5</c:v>
                </c:pt>
                <c:pt idx="30">
                  <c:v>78.5</c:v>
                </c:pt>
                <c:pt idx="31">
                  <c:v>98.5</c:v>
                </c:pt>
                <c:pt idx="32">
                  <c:v>98.5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913256"/>
        <c:axId val="123807456"/>
      </c:scatterChart>
      <c:valAx>
        <c:axId val="495913256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07456"/>
        <c:crosses val="max"/>
        <c:crossBetween val="midCat"/>
        <c:majorUnit val="10"/>
        <c:minorUnit val="2"/>
      </c:valAx>
      <c:valAx>
        <c:axId val="123807456"/>
        <c:scaling>
          <c:orientation val="maxMin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9132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405956964630527"/>
          <c:y val="2.3538442267413577E-2"/>
          <c:w val="0.50656514851943069"/>
          <c:h val="3.12155347951095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51925722941021"/>
          <c:y val="7.2237612917697161E-2"/>
          <c:w val="0.65436221628684077"/>
          <c:h val="0.82028454822725416"/>
        </c:manualLayout>
      </c:layout>
      <c:scatterChart>
        <c:scatterStyle val="lineMarker"/>
        <c:varyColors val="0"/>
        <c:ser>
          <c:idx val="2"/>
          <c:order val="0"/>
          <c:tx>
            <c:strRef>
              <c:f>'CSR_CRR Graph'!$O$1:$P$1</c:f>
              <c:strCache>
                <c:ptCount val="1"/>
                <c:pt idx="0">
                  <c:v>CSR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'CSR_CRR Graph'!$S$4:$S$35</c:f>
              <c:numCache>
                <c:formatCode>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0.26829569792410468</c:v>
                </c:pt>
                <c:pt idx="3">
                  <c:v>0.26829569792410468</c:v>
                </c:pt>
                <c:pt idx="4">
                  <c:v>0.22558532278471669</c:v>
                </c:pt>
                <c:pt idx="5">
                  <c:v>0.22558532278471669</c:v>
                </c:pt>
                <c:pt idx="6">
                  <c:v>0.13669267094752827</c:v>
                </c:pt>
                <c:pt idx="7">
                  <c:v>0.13669267094752827</c:v>
                </c:pt>
                <c:pt idx="8">
                  <c:v>1.3273681472548258</c:v>
                </c:pt>
                <c:pt idx="9">
                  <c:v>1.3273681472548258</c:v>
                </c:pt>
                <c:pt idx="10">
                  <c:v>0.17790952576449626</c:v>
                </c:pt>
                <c:pt idx="11">
                  <c:v>0.17790952576449626</c:v>
                </c:pt>
                <c:pt idx="12">
                  <c:v>0.25959726420627999</c:v>
                </c:pt>
                <c:pt idx="13">
                  <c:v>0.25959726420627999</c:v>
                </c:pt>
                <c:pt idx="14">
                  <c:v>0.23310292465124136</c:v>
                </c:pt>
                <c:pt idx="15">
                  <c:v>0.23310292465124136</c:v>
                </c:pt>
                <c:pt idx="16">
                  <c:v>1.6382371161579401</c:v>
                </c:pt>
                <c:pt idx="17">
                  <c:v>1.6382371161579401</c:v>
                </c:pt>
                <c:pt idx="18">
                  <c:v>0.28791722243428436</c:v>
                </c:pt>
                <c:pt idx="19">
                  <c:v>0.28791722243428436</c:v>
                </c:pt>
                <c:pt idx="20">
                  <c:v>0.22252479900895739</c:v>
                </c:pt>
                <c:pt idx="21">
                  <c:v>0.22252479900895739</c:v>
                </c:pt>
                <c:pt idx="22">
                  <c:v>0.33928779075206889</c:v>
                </c:pt>
                <c:pt idx="23">
                  <c:v>0.33928779075206889</c:v>
                </c:pt>
                <c:pt idx="24">
                  <c:v>0.16051378844981948</c:v>
                </c:pt>
                <c:pt idx="25">
                  <c:v>0.16051378844981948</c:v>
                </c:pt>
                <c:pt idx="26">
                  <c:v>1.4278794686500056</c:v>
                </c:pt>
                <c:pt idx="27">
                  <c:v>1.4278794686500056</c:v>
                </c:pt>
                <c:pt idx="28">
                  <c:v>0.15374894587338828</c:v>
                </c:pt>
                <c:pt idx="29">
                  <c:v>0.15374894587338828</c:v>
                </c:pt>
                <c:pt idx="30">
                  <c:v>0.54809119458654787</c:v>
                </c:pt>
                <c:pt idx="31">
                  <c:v>0.54809119458654787</c:v>
                </c:pt>
              </c:numCache>
            </c:numRef>
          </c:xVal>
          <c:yVal>
            <c:numRef>
              <c:f>'CSR_CRR Graph'!$T$4:$T$36</c:f>
              <c:numCache>
                <c:formatCode>General</c:formatCode>
                <c:ptCount val="33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3.5</c:v>
                </c:pt>
                <c:pt idx="4">
                  <c:v>3.5</c:v>
                </c:pt>
                <c:pt idx="5">
                  <c:v>6</c:v>
                </c:pt>
                <c:pt idx="6">
                  <c:v>6</c:v>
                </c:pt>
                <c:pt idx="7">
                  <c:v>8.5</c:v>
                </c:pt>
                <c:pt idx="8">
                  <c:v>8.5</c:v>
                </c:pt>
                <c:pt idx="9">
                  <c:v>13.5</c:v>
                </c:pt>
                <c:pt idx="10">
                  <c:v>13.5</c:v>
                </c:pt>
                <c:pt idx="11">
                  <c:v>18.5</c:v>
                </c:pt>
                <c:pt idx="12">
                  <c:v>18.5</c:v>
                </c:pt>
                <c:pt idx="13">
                  <c:v>23.5</c:v>
                </c:pt>
                <c:pt idx="14">
                  <c:v>23.5</c:v>
                </c:pt>
                <c:pt idx="15">
                  <c:v>28.5</c:v>
                </c:pt>
                <c:pt idx="16">
                  <c:v>28.5</c:v>
                </c:pt>
                <c:pt idx="17">
                  <c:v>33.5</c:v>
                </c:pt>
                <c:pt idx="18">
                  <c:v>33.5</c:v>
                </c:pt>
                <c:pt idx="19">
                  <c:v>38.5</c:v>
                </c:pt>
                <c:pt idx="20">
                  <c:v>38.5</c:v>
                </c:pt>
                <c:pt idx="21">
                  <c:v>43.5</c:v>
                </c:pt>
                <c:pt idx="22">
                  <c:v>43.5</c:v>
                </c:pt>
                <c:pt idx="23">
                  <c:v>48.5</c:v>
                </c:pt>
                <c:pt idx="24">
                  <c:v>48.5</c:v>
                </c:pt>
                <c:pt idx="25">
                  <c:v>53.5</c:v>
                </c:pt>
                <c:pt idx="26">
                  <c:v>53.5</c:v>
                </c:pt>
                <c:pt idx="27">
                  <c:v>58.5</c:v>
                </c:pt>
                <c:pt idx="28">
                  <c:v>58.5</c:v>
                </c:pt>
                <c:pt idx="29">
                  <c:v>78.5</c:v>
                </c:pt>
                <c:pt idx="30">
                  <c:v>78.5</c:v>
                </c:pt>
                <c:pt idx="31">
                  <c:v>98.5</c:v>
                </c:pt>
                <c:pt idx="32">
                  <c:v>98.5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'CSR_CRR Graph'!$A$1</c:f>
              <c:strCache>
                <c:ptCount val="1"/>
                <c:pt idx="0">
                  <c:v>CSR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'CSR_CRR Graph'!$E$4:$E$35</c:f>
              <c:numCache>
                <c:formatCode>0.000</c:formatCode>
                <c:ptCount val="32"/>
                <c:pt idx="0">
                  <c:v>0.39166407613371002</c:v>
                </c:pt>
                <c:pt idx="1">
                  <c:v>0.39166407613371002</c:v>
                </c:pt>
                <c:pt idx="2">
                  <c:v>0.3897852029262468</c:v>
                </c:pt>
                <c:pt idx="3">
                  <c:v>0.3897852029262468</c:v>
                </c:pt>
                <c:pt idx="4">
                  <c:v>0.3877006033004784</c:v>
                </c:pt>
                <c:pt idx="5">
                  <c:v>0.3877006033004784</c:v>
                </c:pt>
                <c:pt idx="6">
                  <c:v>0.38541810060196152</c:v>
                </c:pt>
                <c:pt idx="7">
                  <c:v>0.38541810060196152</c:v>
                </c:pt>
                <c:pt idx="8">
                  <c:v>0.38029376469287318</c:v>
                </c:pt>
                <c:pt idx="9">
                  <c:v>0.38029376469287318</c:v>
                </c:pt>
                <c:pt idx="10">
                  <c:v>0.37982455210499938</c:v>
                </c:pt>
                <c:pt idx="11">
                  <c:v>0.37982455210499938</c:v>
                </c:pt>
                <c:pt idx="12">
                  <c:v>0.41908136020707737</c:v>
                </c:pt>
                <c:pt idx="13">
                  <c:v>0.41908136020707737</c:v>
                </c:pt>
                <c:pt idx="14">
                  <c:v>0.44674404204656276</c:v>
                </c:pt>
                <c:pt idx="15">
                  <c:v>0.44674404204656276</c:v>
                </c:pt>
                <c:pt idx="16">
                  <c:v>0.46591357881045409</c:v>
                </c:pt>
                <c:pt idx="17">
                  <c:v>0.46591357881045409</c:v>
                </c:pt>
                <c:pt idx="18">
                  <c:v>0.47869206950017457</c:v>
                </c:pt>
                <c:pt idx="19">
                  <c:v>0.47869206950017457</c:v>
                </c:pt>
                <c:pt idx="20">
                  <c:v>0.48657912491786515</c:v>
                </c:pt>
                <c:pt idx="21">
                  <c:v>0.48657912491786515</c:v>
                </c:pt>
                <c:pt idx="22">
                  <c:v>0.49069204507748143</c:v>
                </c:pt>
                <c:pt idx="23">
                  <c:v>0.49069204507748143</c:v>
                </c:pt>
                <c:pt idx="24">
                  <c:v>0.49189442068295242</c:v>
                </c:pt>
                <c:pt idx="25">
                  <c:v>0.49189442068295242</c:v>
                </c:pt>
                <c:pt idx="26">
                  <c:v>0.49087442727457276</c:v>
                </c:pt>
                <c:pt idx="27">
                  <c:v>0.49087442727457276</c:v>
                </c:pt>
                <c:pt idx="28">
                  <c:v>0.47452910155600136</c:v>
                </c:pt>
                <c:pt idx="29">
                  <c:v>0.47452910155600136</c:v>
                </c:pt>
                <c:pt idx="30">
                  <c:v>0.45476732277035992</c:v>
                </c:pt>
                <c:pt idx="31">
                  <c:v>0.45476732277035992</c:v>
                </c:pt>
              </c:numCache>
            </c:numRef>
          </c:xVal>
          <c:yVal>
            <c:numRef>
              <c:f>'CSR_CRR Graph'!$F$4:$F$35</c:f>
              <c:numCache>
                <c:formatCode>General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3.5</c:v>
                </c:pt>
                <c:pt idx="4">
                  <c:v>3.5</c:v>
                </c:pt>
                <c:pt idx="5">
                  <c:v>6</c:v>
                </c:pt>
                <c:pt idx="6">
                  <c:v>6</c:v>
                </c:pt>
                <c:pt idx="7">
                  <c:v>8.5</c:v>
                </c:pt>
                <c:pt idx="8">
                  <c:v>8.5</c:v>
                </c:pt>
                <c:pt idx="9">
                  <c:v>13.5</c:v>
                </c:pt>
                <c:pt idx="10">
                  <c:v>13.5</c:v>
                </c:pt>
                <c:pt idx="11">
                  <c:v>18.5</c:v>
                </c:pt>
                <c:pt idx="12">
                  <c:v>18.5</c:v>
                </c:pt>
                <c:pt idx="13">
                  <c:v>23.5</c:v>
                </c:pt>
                <c:pt idx="14">
                  <c:v>23.5</c:v>
                </c:pt>
                <c:pt idx="15">
                  <c:v>28.5</c:v>
                </c:pt>
                <c:pt idx="16">
                  <c:v>28.5</c:v>
                </c:pt>
                <c:pt idx="17">
                  <c:v>33.5</c:v>
                </c:pt>
                <c:pt idx="18">
                  <c:v>33.5</c:v>
                </c:pt>
                <c:pt idx="19">
                  <c:v>38.5</c:v>
                </c:pt>
                <c:pt idx="20">
                  <c:v>38.5</c:v>
                </c:pt>
                <c:pt idx="21">
                  <c:v>43.5</c:v>
                </c:pt>
                <c:pt idx="22">
                  <c:v>43.5</c:v>
                </c:pt>
                <c:pt idx="23">
                  <c:v>48.5</c:v>
                </c:pt>
                <c:pt idx="24">
                  <c:v>48.5</c:v>
                </c:pt>
                <c:pt idx="25">
                  <c:v>53.5</c:v>
                </c:pt>
                <c:pt idx="26">
                  <c:v>53.5</c:v>
                </c:pt>
                <c:pt idx="27">
                  <c:v>58.5</c:v>
                </c:pt>
                <c:pt idx="28">
                  <c:v>58.5</c:v>
                </c:pt>
                <c:pt idx="29">
                  <c:v>78.5</c:v>
                </c:pt>
                <c:pt idx="30">
                  <c:v>78.5</c:v>
                </c:pt>
                <c:pt idx="31">
                  <c:v>98.5</c:v>
                </c:pt>
              </c:numCache>
            </c:numRef>
          </c:yVal>
          <c:smooth val="0"/>
        </c:ser>
        <c:ser>
          <c:idx val="0"/>
          <c:order val="2"/>
          <c:tx>
            <c:v>Water Table</c:v>
          </c:tx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'CSR_CRR Graph'!$V$3:$V$4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xVal>
          <c:yVal>
            <c:numRef>
              <c:f>'CSR_CRR Graph'!$W$3:$W$4</c:f>
              <c:numCache>
                <c:formatCode>General</c:formatCode>
                <c:ptCount val="2"/>
                <c:pt idx="0">
                  <c:v>18</c:v>
                </c:pt>
                <c:pt idx="1">
                  <c:v>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808240"/>
        <c:axId val="123808632"/>
      </c:scatterChart>
      <c:valAx>
        <c:axId val="123808240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08632"/>
        <c:crosses val="max"/>
        <c:crossBetween val="midCat"/>
        <c:majorUnit val="0.2"/>
        <c:minorUnit val="0.1"/>
      </c:valAx>
      <c:valAx>
        <c:axId val="123808632"/>
        <c:scaling>
          <c:orientation val="maxMin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08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405956964630527"/>
          <c:y val="2.3538442267413577E-2"/>
          <c:w val="0.63698388197070077"/>
          <c:h val="3.12155347951095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51925722941021"/>
          <c:y val="7.2237612917697161E-2"/>
          <c:w val="0.65436221628684077"/>
          <c:h val="0.82028454822725416"/>
        </c:manualLayout>
      </c:layout>
      <c:scatterChart>
        <c:scatterStyle val="lineMarker"/>
        <c:varyColors val="0"/>
        <c:ser>
          <c:idx val="3"/>
          <c:order val="0"/>
          <c:tx>
            <c:strRef>
              <c:f>'Factor Safety'!$A$1:$F$1</c:f>
              <c:strCache>
                <c:ptCount val="1"/>
                <c:pt idx="0">
                  <c:v>Factor of Safety</c:v>
                </c:pt>
              </c:strCache>
            </c:strRef>
          </c:tx>
          <c:spPr>
            <a:ln w="19050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'Factor Safety'!$E$4:$E$36</c:f>
              <c:numCache>
                <c:formatCode>0.000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0.26829569792410468</c:v>
                </c:pt>
                <c:pt idx="3">
                  <c:v>0.26829569792410468</c:v>
                </c:pt>
                <c:pt idx="4">
                  <c:v>0.22558532278471669</c:v>
                </c:pt>
                <c:pt idx="5">
                  <c:v>0.22558532278471669</c:v>
                </c:pt>
                <c:pt idx="6">
                  <c:v>0.13669267094752827</c:v>
                </c:pt>
                <c:pt idx="7">
                  <c:v>0.13669267094752827</c:v>
                </c:pt>
                <c:pt idx="8">
                  <c:v>1.3273681472548258</c:v>
                </c:pt>
                <c:pt idx="9">
                  <c:v>1.3273681472548258</c:v>
                </c:pt>
                <c:pt idx="10">
                  <c:v>0.17790952576449626</c:v>
                </c:pt>
                <c:pt idx="11">
                  <c:v>0.17790952576449626</c:v>
                </c:pt>
                <c:pt idx="12">
                  <c:v>0.25959726420627999</c:v>
                </c:pt>
                <c:pt idx="13">
                  <c:v>0.25959726420627999</c:v>
                </c:pt>
                <c:pt idx="14">
                  <c:v>0.23310292465124136</c:v>
                </c:pt>
                <c:pt idx="15">
                  <c:v>0.23310292465124136</c:v>
                </c:pt>
                <c:pt idx="16">
                  <c:v>1.6382371161579401</c:v>
                </c:pt>
                <c:pt idx="17">
                  <c:v>1.6382371161579401</c:v>
                </c:pt>
                <c:pt idx="18">
                  <c:v>0.28791722243428436</c:v>
                </c:pt>
                <c:pt idx="19">
                  <c:v>0.28791722243428436</c:v>
                </c:pt>
                <c:pt idx="20">
                  <c:v>0.22252479900895739</c:v>
                </c:pt>
                <c:pt idx="21">
                  <c:v>0.22252479900895739</c:v>
                </c:pt>
                <c:pt idx="22">
                  <c:v>0.33928779075206889</c:v>
                </c:pt>
                <c:pt idx="23">
                  <c:v>0.33928779075206889</c:v>
                </c:pt>
                <c:pt idx="24">
                  <c:v>0.16051378844981948</c:v>
                </c:pt>
                <c:pt idx="25">
                  <c:v>0.16051378844981948</c:v>
                </c:pt>
                <c:pt idx="26">
                  <c:v>1.4278794686500056</c:v>
                </c:pt>
                <c:pt idx="27">
                  <c:v>1.4278794686500056</c:v>
                </c:pt>
                <c:pt idx="28">
                  <c:v>0.15374894587338828</c:v>
                </c:pt>
                <c:pt idx="29">
                  <c:v>0.15374894587338828</c:v>
                </c:pt>
                <c:pt idx="30">
                  <c:v>0.54809119458654787</c:v>
                </c:pt>
                <c:pt idx="31">
                  <c:v>0.54809119458654787</c:v>
                </c:pt>
                <c:pt idx="32">
                  <c:v>0</c:v>
                </c:pt>
              </c:numCache>
            </c:numRef>
          </c:xVal>
          <c:yVal>
            <c:numRef>
              <c:f>'Factor Safety'!$F$4:$F$36</c:f>
              <c:numCache>
                <c:formatCode>General</c:formatCode>
                <c:ptCount val="33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3.5</c:v>
                </c:pt>
                <c:pt idx="4">
                  <c:v>3.5</c:v>
                </c:pt>
                <c:pt idx="5">
                  <c:v>6</c:v>
                </c:pt>
                <c:pt idx="6">
                  <c:v>6</c:v>
                </c:pt>
                <c:pt idx="7">
                  <c:v>8.5</c:v>
                </c:pt>
                <c:pt idx="8">
                  <c:v>8.5</c:v>
                </c:pt>
                <c:pt idx="9">
                  <c:v>13.5</c:v>
                </c:pt>
                <c:pt idx="10">
                  <c:v>13.5</c:v>
                </c:pt>
                <c:pt idx="11">
                  <c:v>18.5</c:v>
                </c:pt>
                <c:pt idx="12">
                  <c:v>18.5</c:v>
                </c:pt>
                <c:pt idx="13">
                  <c:v>23.5</c:v>
                </c:pt>
                <c:pt idx="14">
                  <c:v>23.5</c:v>
                </c:pt>
                <c:pt idx="15">
                  <c:v>28.5</c:v>
                </c:pt>
                <c:pt idx="16">
                  <c:v>28.5</c:v>
                </c:pt>
                <c:pt idx="17">
                  <c:v>33.5</c:v>
                </c:pt>
                <c:pt idx="18">
                  <c:v>33.5</c:v>
                </c:pt>
                <c:pt idx="19">
                  <c:v>38.5</c:v>
                </c:pt>
                <c:pt idx="20">
                  <c:v>38.5</c:v>
                </c:pt>
                <c:pt idx="21">
                  <c:v>43.5</c:v>
                </c:pt>
                <c:pt idx="22">
                  <c:v>43.5</c:v>
                </c:pt>
                <c:pt idx="23">
                  <c:v>48.5</c:v>
                </c:pt>
                <c:pt idx="24">
                  <c:v>48.5</c:v>
                </c:pt>
                <c:pt idx="25">
                  <c:v>53.5</c:v>
                </c:pt>
                <c:pt idx="26">
                  <c:v>53.5</c:v>
                </c:pt>
                <c:pt idx="27">
                  <c:v>58.5</c:v>
                </c:pt>
                <c:pt idx="28">
                  <c:v>58.5</c:v>
                </c:pt>
                <c:pt idx="29">
                  <c:v>78.5</c:v>
                </c:pt>
                <c:pt idx="30">
                  <c:v>78.5</c:v>
                </c:pt>
                <c:pt idx="31">
                  <c:v>98.5</c:v>
                </c:pt>
                <c:pt idx="32">
                  <c:v>98.5</c:v>
                </c:pt>
              </c:numCache>
            </c:numRef>
          </c:yVal>
          <c:smooth val="0"/>
        </c:ser>
        <c:ser>
          <c:idx val="0"/>
          <c:order val="1"/>
          <c:tx>
            <c:v>Water Table</c:v>
          </c:tx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'CSR_CRR Graph'!$V$3:$V$4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xVal>
          <c:yVal>
            <c:numRef>
              <c:f>'CSR_CRR Graph'!$W$3:$W$4</c:f>
              <c:numCache>
                <c:formatCode>General</c:formatCode>
                <c:ptCount val="2"/>
                <c:pt idx="0">
                  <c:v>18</c:v>
                </c:pt>
                <c:pt idx="1">
                  <c:v>18</c:v>
                </c:pt>
              </c:numCache>
            </c:numRef>
          </c:yVal>
          <c:smooth val="0"/>
        </c:ser>
        <c:ser>
          <c:idx val="1"/>
          <c:order val="2"/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'Factor Safety'!$R$3:$R$4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'Factor Safety'!$Q$3:$Q$4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861224"/>
        <c:axId val="123809416"/>
      </c:scatterChart>
      <c:valAx>
        <c:axId val="494861224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09416"/>
        <c:crosses val="max"/>
        <c:crossBetween val="midCat"/>
        <c:majorUnit val="0.5"/>
        <c:minorUnit val="0.2"/>
      </c:valAx>
      <c:valAx>
        <c:axId val="123809416"/>
        <c:scaling>
          <c:orientation val="maxMin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861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405956964630527"/>
          <c:y val="2.3538442267413577E-2"/>
          <c:w val="0.74594043035369473"/>
          <c:h val="3.12155347951095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198120</xdr:colOff>
      <xdr:row>2</xdr:row>
      <xdr:rowOff>68580</xdr:rowOff>
    </xdr:from>
    <xdr:to>
      <xdr:col>13</xdr:col>
      <xdr:colOff>0</xdr:colOff>
      <xdr:row>43</xdr:row>
      <xdr:rowOff>60960</xdr:rowOff>
    </xdr:to>
    <xdr:graphicFrame macro="">
      <xdr:nvGraphicFramePr>
        <xdr:cNvPr id="71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0.40088</cdr:x>
      <cdr:y>0.94118</cdr:y>
    </cdr:from>
    <cdr:to>
      <cdr:x>0.6652</cdr:x>
      <cdr:y>0.97891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86840" y="6461760"/>
          <a:ext cx="91440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Blow Count</a:t>
          </a:r>
        </a:p>
      </cdr:txBody>
    </cdr:sp>
  </cdr:relSizeAnchor>
  <cdr:relSizeAnchor xmlns:cdr="http://schemas.openxmlformats.org/drawingml/2006/chartDrawing">
    <cdr:from>
      <cdr:x>0.40088</cdr:x>
      <cdr:y>0.94118</cdr:y>
    </cdr:from>
    <cdr:to>
      <cdr:x>0.6652</cdr:x>
      <cdr:y>0.97891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386840" y="6461760"/>
          <a:ext cx="91440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Blow Count</a:t>
          </a:r>
        </a:p>
      </cdr:txBody>
    </cdr:sp>
  </cdr:relSizeAnchor>
  <cdr:relSizeAnchor xmlns:cdr="http://schemas.openxmlformats.org/drawingml/2006/chartDrawing">
    <cdr:from>
      <cdr:x>0.00881</cdr:x>
      <cdr:y>0.33962</cdr:y>
    </cdr:from>
    <cdr:to>
      <cdr:x>0.09912</cdr:x>
      <cdr:y>0.47281</cdr:y>
    </cdr:to>
    <cdr:sp macro="" textlink="">
      <cdr:nvSpPr>
        <cdr:cNvPr id="4" name="TextBox 3"/>
        <cdr:cNvSpPr txBox="1"/>
      </cdr:nvSpPr>
      <cdr:spPr>
        <a:xfrm xmlns:a="http://schemas.openxmlformats.org/drawingml/2006/main" rot="16200000">
          <a:off x="-270510" y="2632710"/>
          <a:ext cx="914400" cy="312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Depth (ft)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198120</xdr:colOff>
      <xdr:row>2</xdr:row>
      <xdr:rowOff>68580</xdr:rowOff>
    </xdr:from>
    <xdr:to>
      <xdr:col>13</xdr:col>
      <xdr:colOff>0</xdr:colOff>
      <xdr:row>43</xdr:row>
      <xdr:rowOff>60960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0.40088</cdr:x>
      <cdr:y>0.94118</cdr:y>
    </cdr:from>
    <cdr:to>
      <cdr:x>0.6652</cdr:x>
      <cdr:y>0.97891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86840" y="6461760"/>
          <a:ext cx="91440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Blow Count</a:t>
          </a:r>
        </a:p>
      </cdr:txBody>
    </cdr:sp>
  </cdr:relSizeAnchor>
  <cdr:relSizeAnchor xmlns:cdr="http://schemas.openxmlformats.org/drawingml/2006/chartDrawing">
    <cdr:from>
      <cdr:x>0.40088</cdr:x>
      <cdr:y>0.94118</cdr:y>
    </cdr:from>
    <cdr:to>
      <cdr:x>0.6652</cdr:x>
      <cdr:y>0.97891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386840" y="6461760"/>
          <a:ext cx="91440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Blow Count</a:t>
          </a:r>
        </a:p>
      </cdr:txBody>
    </cdr:sp>
  </cdr:relSizeAnchor>
  <cdr:relSizeAnchor xmlns:cdr="http://schemas.openxmlformats.org/drawingml/2006/chartDrawing">
    <cdr:from>
      <cdr:x>0.00881</cdr:x>
      <cdr:y>0.33962</cdr:y>
    </cdr:from>
    <cdr:to>
      <cdr:x>0.09912</cdr:x>
      <cdr:y>0.47281</cdr:y>
    </cdr:to>
    <cdr:sp macro="" textlink="">
      <cdr:nvSpPr>
        <cdr:cNvPr id="4" name="TextBox 3"/>
        <cdr:cNvSpPr txBox="1"/>
      </cdr:nvSpPr>
      <cdr:spPr>
        <a:xfrm xmlns:a="http://schemas.openxmlformats.org/drawingml/2006/main" rot="16200000">
          <a:off x="-270510" y="2632710"/>
          <a:ext cx="914400" cy="312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Depth (ft)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198120</xdr:colOff>
      <xdr:row>2</xdr:row>
      <xdr:rowOff>68580</xdr:rowOff>
    </xdr:from>
    <xdr:to>
      <xdr:col>13</xdr:col>
      <xdr:colOff>0</xdr:colOff>
      <xdr:row>43</xdr:row>
      <xdr:rowOff>60960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0.40088</cdr:x>
      <cdr:y>0.94118</cdr:y>
    </cdr:from>
    <cdr:to>
      <cdr:x>0.6652</cdr:x>
      <cdr:y>0.97891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86840" y="6461760"/>
          <a:ext cx="91440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Blow Count</a:t>
          </a:r>
        </a:p>
      </cdr:txBody>
    </cdr:sp>
  </cdr:relSizeAnchor>
  <cdr:relSizeAnchor xmlns:cdr="http://schemas.openxmlformats.org/drawingml/2006/chartDrawing">
    <cdr:from>
      <cdr:x>0.40088</cdr:x>
      <cdr:y>0.94118</cdr:y>
    </cdr:from>
    <cdr:to>
      <cdr:x>0.6652</cdr:x>
      <cdr:y>0.97891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386840" y="6461760"/>
          <a:ext cx="91440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Blow Count</a:t>
          </a:r>
        </a:p>
      </cdr:txBody>
    </cdr:sp>
  </cdr:relSizeAnchor>
  <cdr:relSizeAnchor xmlns:cdr="http://schemas.openxmlformats.org/drawingml/2006/chartDrawing">
    <cdr:from>
      <cdr:x>0.00881</cdr:x>
      <cdr:y>0.33962</cdr:y>
    </cdr:from>
    <cdr:to>
      <cdr:x>0.09912</cdr:x>
      <cdr:y>0.47281</cdr:y>
    </cdr:to>
    <cdr:sp macro="" textlink="">
      <cdr:nvSpPr>
        <cdr:cNvPr id="4" name="TextBox 3"/>
        <cdr:cNvSpPr txBox="1"/>
      </cdr:nvSpPr>
      <cdr:spPr>
        <a:xfrm xmlns:a="http://schemas.openxmlformats.org/drawingml/2006/main" rot="16200000">
          <a:off x="-270510" y="2632710"/>
          <a:ext cx="914400" cy="312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Depth (ft)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49"/>
  <sheetViews>
    <sheetView showGridLines="0" tabSelected="1" zoomScale="115" zoomScaleNormal="115" workbookViewId="0">
      <selection activeCell="AB26" sqref="AB26"/>
    </sheetView>
  </sheetViews>
  <sheetFormatPr defaultRowHeight="13.2" x14ac:dyDescent="0.25"/>
  <cols>
    <col min="1" max="3" width="12.88671875" customWidth="1"/>
    <col min="11" max="11" width="9.44140625" bestFit="1" customWidth="1"/>
    <col min="12" max="18" width="9.44140625" customWidth="1"/>
    <col min="20" max="20" width="9.77734375" customWidth="1"/>
    <col min="22" max="22" width="9.44140625" bestFit="1" customWidth="1"/>
    <col min="24" max="26" width="10.33203125" customWidth="1"/>
    <col min="28" max="28" width="11.44140625" customWidth="1"/>
    <col min="29" max="29" width="14.44140625" bestFit="1" customWidth="1"/>
    <col min="30" max="30" width="6.109375" customWidth="1"/>
    <col min="31" max="31" width="6.88671875" customWidth="1"/>
    <col min="32" max="32" width="5.6640625" customWidth="1"/>
    <col min="34" max="34" width="8.88671875" customWidth="1"/>
    <col min="35" max="35" width="10.44140625" customWidth="1"/>
    <col min="36" max="36" width="10.33203125" customWidth="1"/>
    <col min="40" max="40" width="12" bestFit="1" customWidth="1"/>
    <col min="41" max="41" width="2.33203125" bestFit="1" customWidth="1"/>
    <col min="42" max="42" width="12" bestFit="1" customWidth="1"/>
    <col min="43" max="43" width="2.33203125" bestFit="1" customWidth="1"/>
  </cols>
  <sheetData>
    <row r="1" spans="1:29" ht="15.6" x14ac:dyDescent="0.3">
      <c r="A1" s="1" t="s">
        <v>104</v>
      </c>
      <c r="B1" s="1"/>
      <c r="C1" s="1"/>
      <c r="P1" s="80" t="s">
        <v>111</v>
      </c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9" ht="15.6" x14ac:dyDescent="0.3">
      <c r="A2" s="78" t="s">
        <v>110</v>
      </c>
      <c r="B2" s="1"/>
      <c r="C2" s="1"/>
      <c r="Q2" s="81" t="s">
        <v>112</v>
      </c>
      <c r="R2" s="81"/>
      <c r="S2" s="81"/>
      <c r="T2" s="81"/>
      <c r="U2" s="81"/>
      <c r="V2" s="81"/>
      <c r="W2" s="81"/>
      <c r="X2" s="81"/>
      <c r="Y2" s="81"/>
      <c r="Z2" s="81"/>
      <c r="AA2" s="81"/>
    </row>
    <row r="3" spans="1:29" ht="15.6" x14ac:dyDescent="0.3">
      <c r="A3" s="1" t="s">
        <v>33</v>
      </c>
      <c r="B3" s="1"/>
      <c r="C3" s="1"/>
    </row>
    <row r="4" spans="1:29" x14ac:dyDescent="0.25">
      <c r="A4" s="12" t="s">
        <v>23</v>
      </c>
      <c r="B4" s="12"/>
      <c r="C4" s="12"/>
    </row>
    <row r="6" spans="1:29" ht="15.6" x14ac:dyDescent="0.35">
      <c r="D6" s="3" t="s">
        <v>14</v>
      </c>
      <c r="E6" s="7">
        <v>7.7</v>
      </c>
      <c r="J6" s="3" t="s">
        <v>39</v>
      </c>
      <c r="K6" s="42">
        <v>0</v>
      </c>
      <c r="L6" t="s">
        <v>34</v>
      </c>
      <c r="S6" s="3" t="s">
        <v>38</v>
      </c>
      <c r="T6" s="3"/>
      <c r="U6" s="3"/>
      <c r="V6" s="42">
        <v>1</v>
      </c>
      <c r="X6" s="3" t="s">
        <v>42</v>
      </c>
      <c r="Y6" s="3"/>
      <c r="Z6" s="51">
        <v>1.48</v>
      </c>
    </row>
    <row r="7" spans="1:29" ht="16.8" x14ac:dyDescent="0.35">
      <c r="D7" s="3" t="s">
        <v>7</v>
      </c>
      <c r="E7" s="7">
        <v>0.6</v>
      </c>
      <c r="F7" t="s">
        <v>6</v>
      </c>
      <c r="J7" s="3" t="s">
        <v>35</v>
      </c>
      <c r="K7" s="42">
        <v>0</v>
      </c>
      <c r="L7" s="26" t="s">
        <v>37</v>
      </c>
      <c r="S7" s="3" t="s">
        <v>40</v>
      </c>
      <c r="T7" s="3"/>
      <c r="U7" s="3"/>
      <c r="V7" s="42">
        <v>1</v>
      </c>
      <c r="W7" t="s">
        <v>41</v>
      </c>
      <c r="X7" s="3" t="s">
        <v>43</v>
      </c>
      <c r="Y7" s="3"/>
      <c r="Z7" s="28">
        <f>IF(V7&lt;=4.5,1,IF(V7&lt;=6,1.05,1.15))</f>
        <v>1</v>
      </c>
    </row>
    <row r="8" spans="1:29" ht="15.6" x14ac:dyDescent="0.35">
      <c r="D8" s="3" t="s">
        <v>20</v>
      </c>
      <c r="E8" s="7">
        <v>18</v>
      </c>
      <c r="F8" t="s">
        <v>2</v>
      </c>
      <c r="J8" s="3" t="s">
        <v>19</v>
      </c>
      <c r="K8" s="42">
        <v>18</v>
      </c>
      <c r="L8" t="s">
        <v>2</v>
      </c>
      <c r="S8" s="44" t="s">
        <v>115</v>
      </c>
      <c r="T8" s="3"/>
      <c r="U8" s="3"/>
      <c r="V8" s="57" t="s">
        <v>59</v>
      </c>
      <c r="X8" s="44" t="s">
        <v>114</v>
      </c>
      <c r="Y8" s="3"/>
      <c r="Z8" s="28"/>
    </row>
    <row r="9" spans="1:29" ht="15.6" x14ac:dyDescent="0.35">
      <c r="D9" s="3" t="s">
        <v>25</v>
      </c>
      <c r="E9" s="7">
        <v>1500</v>
      </c>
      <c r="F9" t="s">
        <v>26</v>
      </c>
      <c r="R9" s="46" t="s">
        <v>80</v>
      </c>
      <c r="S9" s="3" t="s">
        <v>71</v>
      </c>
      <c r="T9" s="79">
        <v>3.5</v>
      </c>
      <c r="U9" s="45" t="s">
        <v>34</v>
      </c>
      <c r="V9" s="76">
        <f>T9*12*2.54/100</f>
        <v>1.0668</v>
      </c>
      <c r="W9" s="46" t="s">
        <v>72</v>
      </c>
      <c r="X9" s="44" t="s">
        <v>84</v>
      </c>
      <c r="Y9" s="3"/>
      <c r="Z9" s="28"/>
    </row>
    <row r="10" spans="1:29" x14ac:dyDescent="0.25">
      <c r="D10" s="3"/>
      <c r="E10" s="7"/>
      <c r="S10" s="44" t="s">
        <v>79</v>
      </c>
      <c r="T10" s="3"/>
      <c r="U10" s="3"/>
      <c r="V10" s="42">
        <v>1.48</v>
      </c>
      <c r="X10" s="3"/>
      <c r="Y10" s="3"/>
      <c r="Z10" s="28"/>
    </row>
    <row r="11" spans="1:29" x14ac:dyDescent="0.25">
      <c r="H11" s="20"/>
      <c r="I11" s="20"/>
    </row>
    <row r="12" spans="1:29" ht="13.8" thickBot="1" x14ac:dyDescent="0.3">
      <c r="A12" s="2" t="s">
        <v>46</v>
      </c>
      <c r="B12" s="2" t="s">
        <v>47</v>
      </c>
      <c r="C12" s="2" t="s">
        <v>48</v>
      </c>
      <c r="D12" s="2" t="s">
        <v>49</v>
      </c>
      <c r="E12" s="2" t="s">
        <v>50</v>
      </c>
      <c r="F12" s="2" t="s">
        <v>51</v>
      </c>
      <c r="G12" s="2" t="s">
        <v>52</v>
      </c>
      <c r="H12" s="2" t="s">
        <v>53</v>
      </c>
      <c r="I12" s="2" t="s">
        <v>54</v>
      </c>
      <c r="J12" s="2" t="s">
        <v>55</v>
      </c>
      <c r="K12" s="56" t="s">
        <v>56</v>
      </c>
      <c r="L12" s="2" t="s">
        <v>57</v>
      </c>
      <c r="M12" s="2" t="s">
        <v>58</v>
      </c>
      <c r="N12" s="2" t="s">
        <v>59</v>
      </c>
      <c r="O12" s="2" t="s">
        <v>60</v>
      </c>
      <c r="P12" s="2" t="s">
        <v>61</v>
      </c>
      <c r="Q12" s="2" t="s">
        <v>62</v>
      </c>
      <c r="R12" s="2" t="s">
        <v>63</v>
      </c>
      <c r="S12" s="54" t="s">
        <v>64</v>
      </c>
      <c r="T12" s="54" t="s">
        <v>65</v>
      </c>
      <c r="U12" s="54" t="s">
        <v>93</v>
      </c>
      <c r="V12" s="54" t="s">
        <v>87</v>
      </c>
      <c r="W12" s="54" t="s">
        <v>88</v>
      </c>
      <c r="X12" s="54" t="s">
        <v>89</v>
      </c>
      <c r="Y12" s="54" t="s">
        <v>90</v>
      </c>
      <c r="Z12" s="54" t="s">
        <v>91</v>
      </c>
      <c r="AA12" s="54"/>
    </row>
    <row r="13" spans="1:29" ht="13.8" thickBot="1" x14ac:dyDescent="0.3">
      <c r="A13" s="87" t="s">
        <v>75</v>
      </c>
      <c r="B13" s="88"/>
      <c r="C13" s="90" t="s">
        <v>15</v>
      </c>
      <c r="D13" s="92"/>
      <c r="E13" s="92"/>
      <c r="F13" s="92"/>
      <c r="G13" s="91"/>
      <c r="H13" s="90" t="s">
        <v>36</v>
      </c>
      <c r="I13" s="92"/>
      <c r="J13" s="91"/>
      <c r="K13" s="90" t="s">
        <v>24</v>
      </c>
      <c r="L13" s="91"/>
      <c r="M13" s="87" t="s">
        <v>81</v>
      </c>
      <c r="N13" s="89"/>
      <c r="O13" s="89"/>
      <c r="P13" s="89"/>
      <c r="Q13" s="89"/>
      <c r="R13" s="89"/>
      <c r="S13" s="93" t="s">
        <v>29</v>
      </c>
      <c r="T13" s="94"/>
      <c r="U13" s="94"/>
      <c r="V13" s="94"/>
      <c r="W13" s="94"/>
      <c r="X13" s="94"/>
      <c r="Y13" s="94"/>
      <c r="Z13" s="95"/>
    </row>
    <row r="14" spans="1:29" ht="16.5" customHeight="1" x14ac:dyDescent="0.35">
      <c r="A14" s="47" t="s">
        <v>30</v>
      </c>
      <c r="B14" s="33" t="s">
        <v>75</v>
      </c>
      <c r="C14" s="15" t="s">
        <v>31</v>
      </c>
      <c r="D14" s="21" t="s">
        <v>3</v>
      </c>
      <c r="E14" s="15" t="s">
        <v>0</v>
      </c>
      <c r="F14" s="16" t="s">
        <v>11</v>
      </c>
      <c r="G14" s="17" t="s">
        <v>18</v>
      </c>
      <c r="H14" s="9" t="s">
        <v>4</v>
      </c>
      <c r="I14" s="19" t="s">
        <v>5</v>
      </c>
      <c r="J14" s="19" t="s">
        <v>5</v>
      </c>
      <c r="K14" s="16" t="s">
        <v>16</v>
      </c>
      <c r="L14" s="16" t="s">
        <v>22</v>
      </c>
      <c r="M14" s="32" t="s">
        <v>82</v>
      </c>
      <c r="N14" s="14" t="s">
        <v>72</v>
      </c>
      <c r="O14" s="5" t="s">
        <v>66</v>
      </c>
      <c r="P14" s="38" t="s">
        <v>83</v>
      </c>
      <c r="Q14" s="32" t="s">
        <v>85</v>
      </c>
      <c r="R14" s="58" t="s">
        <v>74</v>
      </c>
      <c r="S14" s="5" t="s">
        <v>1</v>
      </c>
      <c r="T14" s="82" t="s">
        <v>92</v>
      </c>
      <c r="U14" s="5" t="s">
        <v>17</v>
      </c>
      <c r="V14" s="5" t="s">
        <v>28</v>
      </c>
      <c r="W14" s="5" t="s">
        <v>21</v>
      </c>
      <c r="X14" s="5" t="s">
        <v>27</v>
      </c>
      <c r="Y14" s="5" t="s">
        <v>21</v>
      </c>
      <c r="Z14" s="62" t="s">
        <v>103</v>
      </c>
    </row>
    <row r="15" spans="1:29" ht="42" customHeight="1" x14ac:dyDescent="0.25">
      <c r="A15" s="22" t="s">
        <v>8</v>
      </c>
      <c r="B15" s="34" t="s">
        <v>76</v>
      </c>
      <c r="C15" s="5" t="s">
        <v>32</v>
      </c>
      <c r="D15" s="4" t="s">
        <v>9</v>
      </c>
      <c r="E15" s="5" t="s">
        <v>13</v>
      </c>
      <c r="F15" s="4" t="s">
        <v>12</v>
      </c>
      <c r="G15" s="18" t="s">
        <v>12</v>
      </c>
      <c r="H15" s="5" t="s">
        <v>10</v>
      </c>
      <c r="I15" s="18" t="s">
        <v>10</v>
      </c>
      <c r="J15" s="43" t="s">
        <v>78</v>
      </c>
      <c r="K15" s="48" t="s">
        <v>94</v>
      </c>
      <c r="L15" s="10"/>
      <c r="M15" s="10"/>
      <c r="N15" s="84" t="s">
        <v>86</v>
      </c>
      <c r="O15" s="85"/>
      <c r="P15" s="102" t="s">
        <v>113</v>
      </c>
      <c r="Q15" s="10"/>
      <c r="R15" s="27"/>
      <c r="S15" s="50" t="s">
        <v>13</v>
      </c>
      <c r="T15" s="83"/>
      <c r="U15" s="50" t="s">
        <v>13</v>
      </c>
      <c r="V15" s="49" t="s">
        <v>96</v>
      </c>
      <c r="W15" s="59" t="s">
        <v>95</v>
      </c>
      <c r="X15" s="49"/>
      <c r="Y15" s="60" t="s">
        <v>102</v>
      </c>
      <c r="Z15" s="61"/>
      <c r="AB15" s="17"/>
    </row>
    <row r="16" spans="1:29" ht="14.4" x14ac:dyDescent="0.3">
      <c r="A16" s="40">
        <v>1</v>
      </c>
      <c r="B16" s="39">
        <f t="shared" ref="B16:B31" si="0">A16*12*2.54/100</f>
        <v>0.30480000000000002</v>
      </c>
      <c r="C16" s="57" t="s">
        <v>97</v>
      </c>
      <c r="D16" s="42">
        <v>120</v>
      </c>
      <c r="E16" s="42">
        <v>9</v>
      </c>
      <c r="F16" s="42">
        <v>95</v>
      </c>
      <c r="G16" s="42">
        <v>10</v>
      </c>
      <c r="H16" s="6">
        <f>IF($K$6&gt;A16,0,D16*(A16-K6)+$K$7)</f>
        <v>120</v>
      </c>
      <c r="I16" s="6">
        <f>IF($K$6&gt;A16,0,IF($K$8=0,D16*(A16-$K$6)+$K$7,IF($K$8&gt;A16,D16*(A16-$K$6)+$K$7,D16*(A16-$K$6)-(62.4*((A16-$K$6)-$K$8))+$K$7)))</f>
        <v>120</v>
      </c>
      <c r="J16" s="11">
        <f>I16/2000</f>
        <v>0.06</v>
      </c>
      <c r="K16" s="52">
        <f t="shared" ref="K16:K31" si="1">IF(A16="","",EXP(-1.012-1.126*SIN(B16/11.73+5.133)+$E$6*(0.106+0.118*SIN(B16/11.28+5.142))))</f>
        <v>1.0042668618813078</v>
      </c>
      <c r="L16" s="8">
        <f>IF(C16=0," ",IF(C16=1,"--",IF(I16=0,"NA",0.65*PGA*(H16/I16)*K16)))</f>
        <v>0.39166407613371002</v>
      </c>
      <c r="M16" s="52">
        <f t="shared" ref="M16:M31" si="2">Ce</f>
        <v>1.48</v>
      </c>
      <c r="N16" s="8">
        <f ca="1">(0.784-0.0768*SQRT(S16))</f>
        <v>0.4366359199450659</v>
      </c>
      <c r="O16" s="8">
        <f t="shared" ref="O16:O31" ca="1" si="3">MIN(1.7,(2088.543/I16)^N16)</f>
        <v>1.7</v>
      </c>
      <c r="P16" s="8">
        <f ca="1">IF(A14="","",IF($V$8="N",IF(S16&lt;10,1.1,IF(S16&gt;30,1.3,1+S16/100)),1))</f>
        <v>1.2045725574279966</v>
      </c>
      <c r="Q16" s="11">
        <f t="shared" ref="Q16:Q31" si="4">Cb</f>
        <v>1</v>
      </c>
      <c r="R16" s="53">
        <f t="shared" ref="R16:R31" si="5">IF(A16="","",IF((B16+$V$9)&lt;3,0.75,IF((B16+$V$9)&lt;4,0.8,IF((B16+$V$9)&lt;6,0.85,IF((B16+$V$9)&lt;10,0.95,1)))))</f>
        <v>0.75</v>
      </c>
      <c r="S16" s="11">
        <f t="shared" ref="S16:S31" ca="1" si="6">IF(C16=0," ",E16*M16*O16*P16*Q16*R16)</f>
        <v>20.457255742799667</v>
      </c>
      <c r="T16" s="55" t="str">
        <f>IF(A16="","",IF(C16="CL","n.a.",IF(C16="CH","n.a.",EXP(1.63+9.7/((MAX(0,F16))+0.01)-(15.7/((MAX(0,F16))+0.01))^2))))</f>
        <v>n.a.</v>
      </c>
      <c r="U16" s="55" t="str">
        <f>IF(C16="CL","n.a.",IF(C16="CH","n.a.",T16+S16))</f>
        <v>n.a.</v>
      </c>
      <c r="V16" s="11" t="str">
        <f>IF(A15="","",IF(C16="CL","n.a.",IF(C16="CH","n.a.",MIN(1.1,1-(1/(18.9-2.55*SQRT(MIN(S16,37)))*LN(I16/2088.543))))))</f>
        <v>n.a.</v>
      </c>
      <c r="W16" s="13" t="str">
        <f>IF(A16="","",IF(A16="","",IF(C16="CL","n.a.",IF(C16="CH","n.a.",IF(U16&lt;37.5,EXP(U16/14.1+(U16/126)^2-(U16/23.6)^3+(U16/25.4)^4-2.8),2)))))</f>
        <v>n.a.</v>
      </c>
      <c r="X16" s="29">
        <f>IF(A16="","n.a.",IF(C16="CL",MIN(1.13,1.12*EXP(-$E$6/4)+0.828),IF(C16="CH",MIN(1.13,1.12*EXP(-$E$6/4)+0.828),1+((MIN(2.2,1.09+(U16/31.5)^2)-1))*(8.64*EXP(-$E$6/4)-1.325))))</f>
        <v>0.99138084767897461</v>
      </c>
      <c r="Y16" s="2" t="str">
        <f>IF(C16="CL","n.a.",IF(C16="CH","n.a.",V16*W16*X16))</f>
        <v>n.a.</v>
      </c>
      <c r="Z16" s="2" t="str">
        <f>IF(A16="","",IF(A16&lt;$E$8-0.5,"n.a.",IF(G16="CL","n.a.",IF(G16="CH","n.a.",IF(Y16/L16&gt;2,2,Y16/L16)))))</f>
        <v>n.a.</v>
      </c>
      <c r="AC16" s="31"/>
    </row>
    <row r="17" spans="1:29" ht="14.4" x14ac:dyDescent="0.3">
      <c r="A17" s="40">
        <v>3.5</v>
      </c>
      <c r="B17" s="39">
        <f t="shared" si="0"/>
        <v>1.0668</v>
      </c>
      <c r="C17" s="57" t="s">
        <v>98</v>
      </c>
      <c r="D17" s="42">
        <v>120</v>
      </c>
      <c r="E17" s="42">
        <v>8</v>
      </c>
      <c r="F17" s="42">
        <v>95</v>
      </c>
      <c r="G17" s="42">
        <v>10</v>
      </c>
      <c r="H17" s="6">
        <f t="shared" ref="H17:H31" si="7">IF(C17=0," ",IF($K$6&gt;A17,0,IF(H16=0,(A17-A16)*D17+$K$7,H16+(A17-A16)*D17)))</f>
        <v>420</v>
      </c>
      <c r="I17" s="6">
        <f t="shared" ref="I17:I31" si="8">IF(C17=0," ",IF($K$6&gt;A17,0,IF(I16=0,IF($K$8=0,I16+D17*(A17-A16)+$K$7,IF($K$8&gt;A17,I16+D17*(A17-A16)+$K$7,IF(($K$8-A16)&lt;0,I16+D17*(A17-A16)-62.4*(A17-A16)+$K$7,I16+$K$7+D17*(A17-A16)-62.4*(A17-$K$8)))),IF($K$8=0,I16+D17*(A17-A16),IF($K$8&gt;A17,I16+D17*(A17-A16),IF(($K$8-A16)&lt;0,I16+D17*(A17-A16)-62.4*(A17-A16),I16+D17*(A17-A16)-62.4*(A17-$K$8)))))))</f>
        <v>420</v>
      </c>
      <c r="J17" s="11">
        <f t="shared" ref="J17:J31" si="9">I17/2000</f>
        <v>0.21</v>
      </c>
      <c r="K17" s="52">
        <f t="shared" si="1"/>
        <v>0.99944923827242771</v>
      </c>
      <c r="L17" s="8">
        <f>IF(C17=0," ",IF(C17=1,"--",IF(I17=0,"NA",0.65*PGA*(H17/I17)*K17)))</f>
        <v>0.3897852029262468</v>
      </c>
      <c r="M17" s="52">
        <f t="shared" si="2"/>
        <v>1.48</v>
      </c>
      <c r="N17" s="8">
        <f t="shared" ref="N17:N31" ca="1" si="10">(0.784-0.0768*SQRT(S17))</f>
        <v>0.4601617917072055</v>
      </c>
      <c r="O17" s="8">
        <f t="shared" ca="1" si="3"/>
        <v>1.7</v>
      </c>
      <c r="P17" s="8">
        <f t="shared" ref="P17:P31" ca="1" si="11">IF(A15="","",IF($V$8="N",IF(S17&lt;10,1.1,IF(S17&gt;30,1.3,1+S17/100)),1))</f>
        <v>1.1778008103269575</v>
      </c>
      <c r="Q17" s="11">
        <f t="shared" si="4"/>
        <v>1</v>
      </c>
      <c r="R17" s="53">
        <f t="shared" si="5"/>
        <v>0.75</v>
      </c>
      <c r="S17" s="11">
        <f t="shared" ca="1" si="6"/>
        <v>17.780081032695751</v>
      </c>
      <c r="T17" s="55">
        <f t="shared" ref="T17:T31" si="12">IF(A17="","",IF(C17="CL","n.a.",IF(C17="CH","n.a.",EXP(1.63+9.7/((MAX(0,F17))+0.01)-(15.7/((MAX(0,F17))+0.01))^2))))</f>
        <v>5.5002214440237589</v>
      </c>
      <c r="U17" s="55">
        <f t="shared" ref="U17:U31" ca="1" si="13">IF(C17="CL","n.a.",IF(C17="CH","n.a.",T17+S17))</f>
        <v>23.280302476719509</v>
      </c>
      <c r="V17" s="11">
        <f t="shared" ref="V17:V31" ca="1" si="14">IF(A16="","",IF(C17="CL","n.a.",IF(C17="CH","n.a.",MIN(1.1,1-(1/(18.9-2.55*SQRT(MIN(S17,37)))*LN(I17/2088.543))))))</f>
        <v>1.1000000000000001</v>
      </c>
      <c r="W17" s="13">
        <f t="shared" ref="W17:W31" ca="1" si="15">IF(A17="","",IF(A17="","",IF(C17="CL","n.a.",IF(C17="CH","n.a.",IF(U17&lt;37.5,EXP(U17/14.1+(U17/126)^2-(U17/23.6)^3+(U17/25.4)^4-2.8),2)))))</f>
        <v>0.25436469913693527</v>
      </c>
      <c r="X17" s="29">
        <f t="shared" ref="X17:X31" ca="1" si="16">IF(A17="","",IF(C17=1,MIN(1.13,1.12*EXP(-$E$6/4)+0.828),IF(C17=1,MIN(1.13,1.12*EXP(-$E$6/4)+0.828),1+((MIN(2.2,1.09+(U17/31.5)^2)-1))*(8.64*EXP(-$E$6/4)-1.325))))</f>
        <v>0.95887983182642722</v>
      </c>
      <c r="Y17" s="8">
        <f t="shared" ref="Y17:Y31" ca="1" si="17">IF(C17="CL","n.a.",IF(C17="CH","n.a.",V17*W17*X17))</f>
        <v>0.26829569792410468</v>
      </c>
      <c r="Z17" s="2" t="str">
        <f t="shared" ref="Z17:Z31" si="18">IF(A17="","",IF(A17&lt;$E$8-0.5,"n.a.",IF(G17="CL","n.a.",IF(G17="CH","n.a.",IF(Y17/L17&gt;2,2,Y17/L17)))))</f>
        <v>n.a.</v>
      </c>
      <c r="AC17" s="31"/>
    </row>
    <row r="18" spans="1:29" ht="14.4" x14ac:dyDescent="0.3">
      <c r="A18" s="40">
        <v>6</v>
      </c>
      <c r="B18" s="39">
        <f t="shared" si="0"/>
        <v>1.8288</v>
      </c>
      <c r="C18" s="57" t="s">
        <v>98</v>
      </c>
      <c r="D18" s="42">
        <v>120</v>
      </c>
      <c r="E18" s="42">
        <v>7</v>
      </c>
      <c r="F18" s="42">
        <v>95</v>
      </c>
      <c r="G18" s="42">
        <v>10</v>
      </c>
      <c r="H18" s="6">
        <f t="shared" si="7"/>
        <v>720</v>
      </c>
      <c r="I18" s="6">
        <f t="shared" si="8"/>
        <v>720</v>
      </c>
      <c r="J18" s="11">
        <f t="shared" si="9"/>
        <v>0.36</v>
      </c>
      <c r="K18" s="52">
        <f t="shared" si="1"/>
        <v>0.99410411102686769</v>
      </c>
      <c r="L18" s="8">
        <f>IF(C18=0," ",IF(C18=1,"--",IF(I18=0,"NA",0.65*PGA*(H18/I18)*K18)))</f>
        <v>0.3877006033004784</v>
      </c>
      <c r="M18" s="52">
        <f t="shared" si="2"/>
        <v>1.48</v>
      </c>
      <c r="N18" s="8">
        <f t="shared" ca="1" si="10"/>
        <v>0.48653337526894258</v>
      </c>
      <c r="O18" s="8">
        <f t="shared" ca="1" si="3"/>
        <v>1.6789083973479411</v>
      </c>
      <c r="P18" s="8">
        <f t="shared" ca="1" si="11"/>
        <v>1.1500216892308346</v>
      </c>
      <c r="Q18" s="11">
        <f t="shared" si="4"/>
        <v>1</v>
      </c>
      <c r="R18" s="53">
        <f t="shared" si="5"/>
        <v>0.75</v>
      </c>
      <c r="S18" s="11">
        <f t="shared" ca="1" si="6"/>
        <v>15.00216892308346</v>
      </c>
      <c r="T18" s="55">
        <f t="shared" si="12"/>
        <v>5.5002214440237589</v>
      </c>
      <c r="U18" s="55">
        <f t="shared" ca="1" si="13"/>
        <v>20.502390367107218</v>
      </c>
      <c r="V18" s="11">
        <f t="shared" ca="1" si="14"/>
        <v>1.1000000000000001</v>
      </c>
      <c r="W18" s="13">
        <f t="shared" ca="1" si="15"/>
        <v>0.21211945675589158</v>
      </c>
      <c r="X18" s="29">
        <f t="shared" ca="1" si="16"/>
        <v>0.96680224107837875</v>
      </c>
      <c r="Y18" s="8">
        <f t="shared" ca="1" si="17"/>
        <v>0.22558532278471669</v>
      </c>
      <c r="Z18" s="2" t="str">
        <f t="shared" si="18"/>
        <v>n.a.</v>
      </c>
      <c r="AC18" s="31"/>
    </row>
    <row r="19" spans="1:29" ht="14.4" x14ac:dyDescent="0.3">
      <c r="A19" s="40">
        <v>8.5</v>
      </c>
      <c r="B19" s="39">
        <f t="shared" si="0"/>
        <v>2.5907999999999998</v>
      </c>
      <c r="C19" s="42" t="s">
        <v>99</v>
      </c>
      <c r="D19" s="42">
        <v>120</v>
      </c>
      <c r="E19" s="42">
        <v>5</v>
      </c>
      <c r="F19" s="42">
        <v>12</v>
      </c>
      <c r="G19" s="42">
        <v>5</v>
      </c>
      <c r="H19" s="6">
        <f t="shared" si="7"/>
        <v>1020</v>
      </c>
      <c r="I19" s="6">
        <f t="shared" si="8"/>
        <v>1020</v>
      </c>
      <c r="J19" s="11">
        <f t="shared" si="9"/>
        <v>0.51</v>
      </c>
      <c r="K19" s="52">
        <f t="shared" si="1"/>
        <v>0.98825154000502957</v>
      </c>
      <c r="L19" s="8">
        <f t="shared" ref="L19:L31" si="19">IF(C19=0," ",IF(C19=1,"NA",IF(I19=0,"NA",0.65*PGA*(H19/I19)*K19)))</f>
        <v>0.38541810060196152</v>
      </c>
      <c r="M19" s="52">
        <f t="shared" si="2"/>
        <v>1.48</v>
      </c>
      <c r="N19" s="8">
        <f t="shared" ca="1" si="10"/>
        <v>0.54569135807623215</v>
      </c>
      <c r="O19" s="8">
        <f t="shared" ca="1" si="3"/>
        <v>1.4785729323011623</v>
      </c>
      <c r="P19" s="8">
        <f t="shared" ca="1" si="11"/>
        <v>1.1000000000000001</v>
      </c>
      <c r="Q19" s="11">
        <f t="shared" si="4"/>
        <v>1</v>
      </c>
      <c r="R19" s="53">
        <f t="shared" si="5"/>
        <v>0.8</v>
      </c>
      <c r="S19" s="11">
        <f t="shared" ca="1" si="6"/>
        <v>9.6284669351451697</v>
      </c>
      <c r="T19" s="55">
        <f t="shared" si="12"/>
        <v>2.0725370883801562</v>
      </c>
      <c r="U19" s="55">
        <f t="shared" ca="1" si="13"/>
        <v>11.701004023525325</v>
      </c>
      <c r="V19" s="11">
        <f t="shared" ca="1" si="14"/>
        <v>1.0652259424621675</v>
      </c>
      <c r="W19" s="13">
        <f t="shared" ca="1" si="15"/>
        <v>0.13024185741142963</v>
      </c>
      <c r="X19" s="29">
        <f t="shared" ca="1" si="16"/>
        <v>0.98526467861238443</v>
      </c>
      <c r="Y19" s="8">
        <f t="shared" ca="1" si="17"/>
        <v>0.13669267094752827</v>
      </c>
      <c r="Z19" s="2" t="str">
        <f t="shared" si="18"/>
        <v>n.a.</v>
      </c>
      <c r="AB19" s="30"/>
      <c r="AC19" s="31"/>
    </row>
    <row r="20" spans="1:29" ht="14.4" x14ac:dyDescent="0.3">
      <c r="A20" s="40">
        <v>13.5</v>
      </c>
      <c r="B20" s="39">
        <f t="shared" si="0"/>
        <v>4.1147999999999998</v>
      </c>
      <c r="C20" s="42" t="s">
        <v>99</v>
      </c>
      <c r="D20" s="42">
        <v>120</v>
      </c>
      <c r="E20" s="42">
        <v>19</v>
      </c>
      <c r="F20" s="42">
        <v>12</v>
      </c>
      <c r="G20" s="42">
        <v>0</v>
      </c>
      <c r="H20" s="6">
        <f t="shared" si="7"/>
        <v>1620</v>
      </c>
      <c r="I20" s="6">
        <f t="shared" si="8"/>
        <v>1620</v>
      </c>
      <c r="J20" s="11">
        <f t="shared" si="9"/>
        <v>0.81</v>
      </c>
      <c r="K20" s="52">
        <f t="shared" si="1"/>
        <v>0.97511221716121321</v>
      </c>
      <c r="L20" s="8">
        <f t="shared" si="19"/>
        <v>0.38029376469287318</v>
      </c>
      <c r="M20" s="52">
        <f t="shared" si="2"/>
        <v>1.48</v>
      </c>
      <c r="N20" s="8">
        <f t="shared" ca="1" si="10"/>
        <v>0.33716278761510959</v>
      </c>
      <c r="O20" s="8">
        <f t="shared" ca="1" si="3"/>
        <v>1.089428250864275</v>
      </c>
      <c r="P20" s="8">
        <f t="shared" ca="1" si="11"/>
        <v>1.3</v>
      </c>
      <c r="Q20" s="11">
        <f t="shared" si="4"/>
        <v>1</v>
      </c>
      <c r="R20" s="53">
        <f t="shared" si="5"/>
        <v>0.85</v>
      </c>
      <c r="S20" s="11">
        <f t="shared" ca="1" si="6"/>
        <v>33.85136826780527</v>
      </c>
      <c r="T20" s="55">
        <f t="shared" si="12"/>
        <v>2.0725370883801562</v>
      </c>
      <c r="U20" s="55">
        <f t="shared" ca="1" si="13"/>
        <v>35.923905356185429</v>
      </c>
      <c r="V20" s="11">
        <f t="shared" ca="1" si="14"/>
        <v>1.0625160037648935</v>
      </c>
      <c r="W20" s="13">
        <f t="shared" ca="1" si="15"/>
        <v>1.3543092864060393</v>
      </c>
      <c r="X20" s="29">
        <f t="shared" ca="1" si="16"/>
        <v>0.92243984708536542</v>
      </c>
      <c r="Y20" s="8">
        <f t="shared" ca="1" si="17"/>
        <v>1.3273681472548258</v>
      </c>
      <c r="Z20" s="2" t="str">
        <f t="shared" si="18"/>
        <v>n.a.</v>
      </c>
      <c r="AB20" s="30"/>
      <c r="AC20" s="31"/>
    </row>
    <row r="21" spans="1:29" ht="14.4" x14ac:dyDescent="0.3">
      <c r="A21" s="40">
        <v>18.5</v>
      </c>
      <c r="B21" s="39">
        <f t="shared" si="0"/>
        <v>5.6387999999999998</v>
      </c>
      <c r="C21" s="42" t="s">
        <v>99</v>
      </c>
      <c r="D21" s="42">
        <v>120</v>
      </c>
      <c r="E21" s="42">
        <v>10</v>
      </c>
      <c r="F21" s="42">
        <v>12</v>
      </c>
      <c r="G21" s="42">
        <v>0</v>
      </c>
      <c r="H21" s="6">
        <f t="shared" si="7"/>
        <v>2220</v>
      </c>
      <c r="I21" s="6">
        <f t="shared" si="8"/>
        <v>2188.8000000000002</v>
      </c>
      <c r="J21" s="11">
        <f t="shared" si="9"/>
        <v>1.0944</v>
      </c>
      <c r="K21" s="52">
        <f t="shared" si="1"/>
        <v>0.96022173671450994</v>
      </c>
      <c r="L21" s="8">
        <f t="shared" si="19"/>
        <v>0.37982455210499938</v>
      </c>
      <c r="M21" s="52">
        <f t="shared" si="2"/>
        <v>1.48</v>
      </c>
      <c r="N21" s="8">
        <f t="shared" ca="1" si="10"/>
        <v>0.47737256067726563</v>
      </c>
      <c r="O21" s="8">
        <f t="shared" ca="1" si="3"/>
        <v>0.97786617842756629</v>
      </c>
      <c r="P21" s="8">
        <f t="shared" ca="1" si="11"/>
        <v>1.1594041384304761</v>
      </c>
      <c r="Q21" s="11">
        <f t="shared" si="4"/>
        <v>1</v>
      </c>
      <c r="R21" s="53">
        <f t="shared" si="5"/>
        <v>0.95</v>
      </c>
      <c r="S21" s="11">
        <f t="shared" ca="1" si="6"/>
        <v>15.940413843047615</v>
      </c>
      <c r="T21" s="55">
        <f t="shared" si="12"/>
        <v>2.0725370883801562</v>
      </c>
      <c r="U21" s="55">
        <f t="shared" ca="1" si="13"/>
        <v>18.01295093142777</v>
      </c>
      <c r="V21" s="11">
        <f t="shared" ca="1" si="14"/>
        <v>0.99462246855532932</v>
      </c>
      <c r="W21" s="13">
        <f t="shared" ca="1" si="15"/>
        <v>0.18382592468019668</v>
      </c>
      <c r="X21" s="29">
        <f t="shared" ca="1" si="16"/>
        <v>0.97304780444033534</v>
      </c>
      <c r="Y21" s="8">
        <f t="shared" ca="1" si="17"/>
        <v>0.17790952576449626</v>
      </c>
      <c r="Z21" s="8">
        <f t="shared" ca="1" si="18"/>
        <v>0.46839922479607016</v>
      </c>
      <c r="AB21" s="30"/>
      <c r="AC21" s="31"/>
    </row>
    <row r="22" spans="1:29" ht="14.4" x14ac:dyDescent="0.3">
      <c r="A22" s="40">
        <v>23.5</v>
      </c>
      <c r="B22" s="39">
        <f t="shared" si="0"/>
        <v>7.1627999999999998</v>
      </c>
      <c r="C22" s="42" t="s">
        <v>99</v>
      </c>
      <c r="D22" s="42">
        <v>120</v>
      </c>
      <c r="E22" s="42">
        <v>14</v>
      </c>
      <c r="F22" s="42">
        <v>12</v>
      </c>
      <c r="G22" s="42">
        <v>0</v>
      </c>
      <c r="H22" s="6">
        <f t="shared" si="7"/>
        <v>2820</v>
      </c>
      <c r="I22" s="6">
        <f t="shared" si="8"/>
        <v>2476.8000000000002</v>
      </c>
      <c r="J22" s="11">
        <f t="shared" si="9"/>
        <v>1.2384000000000002</v>
      </c>
      <c r="K22" s="52">
        <f t="shared" si="1"/>
        <v>0.94379042822412185</v>
      </c>
      <c r="L22" s="8">
        <f t="shared" si="19"/>
        <v>0.41908136020707737</v>
      </c>
      <c r="M22" s="52">
        <f t="shared" si="2"/>
        <v>1.48</v>
      </c>
      <c r="N22" s="8">
        <f t="shared" ca="1" si="10"/>
        <v>0.42024513964764737</v>
      </c>
      <c r="O22" s="8">
        <f t="shared" ca="1" si="3"/>
        <v>0.93085468849212771</v>
      </c>
      <c r="P22" s="8">
        <f t="shared" ca="1" si="11"/>
        <v>1.2243340359665928</v>
      </c>
      <c r="Q22" s="11">
        <f t="shared" si="4"/>
        <v>1</v>
      </c>
      <c r="R22" s="53">
        <f t="shared" si="5"/>
        <v>0.95</v>
      </c>
      <c r="S22" s="11">
        <f t="shared" ca="1" si="6"/>
        <v>22.433403596659286</v>
      </c>
      <c r="T22" s="55">
        <f t="shared" si="12"/>
        <v>2.0725370883801562</v>
      </c>
      <c r="U22" s="55">
        <f t="shared" ca="1" si="13"/>
        <v>24.505940685039441</v>
      </c>
      <c r="V22" s="11">
        <f t="shared" ca="1" si="14"/>
        <v>0.97500796470540785</v>
      </c>
      <c r="W22" s="13">
        <f t="shared" ca="1" si="15"/>
        <v>0.27877840063821818</v>
      </c>
      <c r="X22" s="29">
        <f t="shared" ca="1" si="16"/>
        <v>0.95506477085624841</v>
      </c>
      <c r="Y22" s="8">
        <f t="shared" ca="1" si="17"/>
        <v>0.25959726420627999</v>
      </c>
      <c r="Z22" s="8">
        <f t="shared" ca="1" si="18"/>
        <v>0.61944359462326659</v>
      </c>
      <c r="AB22" s="30"/>
      <c r="AC22" s="31"/>
    </row>
    <row r="23" spans="1:29" ht="14.4" x14ac:dyDescent="0.3">
      <c r="A23" s="40">
        <v>28.5</v>
      </c>
      <c r="B23" s="39">
        <f t="shared" si="0"/>
        <v>8.6867999999999999</v>
      </c>
      <c r="C23" s="42" t="s">
        <v>99</v>
      </c>
      <c r="D23" s="42">
        <v>120</v>
      </c>
      <c r="E23" s="42">
        <v>14</v>
      </c>
      <c r="F23" s="42">
        <v>12</v>
      </c>
      <c r="G23" s="42">
        <v>0</v>
      </c>
      <c r="H23" s="6">
        <f t="shared" si="7"/>
        <v>3420</v>
      </c>
      <c r="I23" s="6">
        <f t="shared" si="8"/>
        <v>2764.8</v>
      </c>
      <c r="J23" s="11">
        <f t="shared" si="9"/>
        <v>1.3824000000000001</v>
      </c>
      <c r="K23" s="52">
        <f t="shared" si="1"/>
        <v>0.92604433007222742</v>
      </c>
      <c r="L23" s="8">
        <f t="shared" si="19"/>
        <v>0.44674404204656276</v>
      </c>
      <c r="M23" s="52">
        <f t="shared" si="2"/>
        <v>1.48</v>
      </c>
      <c r="N23" s="8">
        <f t="shared" ca="1" si="10"/>
        <v>0.43098905347380218</v>
      </c>
      <c r="O23" s="8">
        <f t="shared" ca="1" si="3"/>
        <v>0.88612866250647937</v>
      </c>
      <c r="P23" s="8">
        <f t="shared" ca="1" si="11"/>
        <v>1.2112778190906477</v>
      </c>
      <c r="Q23" s="11">
        <f t="shared" si="4"/>
        <v>1</v>
      </c>
      <c r="R23" s="53">
        <f t="shared" si="5"/>
        <v>0.95</v>
      </c>
      <c r="S23" s="11">
        <f t="shared" ca="1" si="6"/>
        <v>21.12778190906478</v>
      </c>
      <c r="T23" s="55">
        <f t="shared" si="12"/>
        <v>2.0725370883801562</v>
      </c>
      <c r="U23" s="55">
        <f t="shared" ca="1" si="13"/>
        <v>23.200318997444935</v>
      </c>
      <c r="V23" s="11">
        <f t="shared" ca="1" si="14"/>
        <v>0.96092711971459721</v>
      </c>
      <c r="W23" s="13">
        <f t="shared" ca="1" si="15"/>
        <v>0.2529201445945945</v>
      </c>
      <c r="X23" s="29">
        <f t="shared" ca="1" si="16"/>
        <v>0.95912199523516528</v>
      </c>
      <c r="Y23" s="8">
        <f t="shared" ca="1" si="17"/>
        <v>0.23310292465124136</v>
      </c>
      <c r="Z23" s="8">
        <f t="shared" ca="1" si="18"/>
        <v>0.52178183190397365</v>
      </c>
    </row>
    <row r="24" spans="1:29" ht="14.4" x14ac:dyDescent="0.3">
      <c r="A24" s="40">
        <v>33.5</v>
      </c>
      <c r="B24" s="39">
        <f t="shared" si="0"/>
        <v>10.210800000000001</v>
      </c>
      <c r="C24" s="42" t="s">
        <v>99</v>
      </c>
      <c r="D24" s="42">
        <v>120</v>
      </c>
      <c r="E24" s="42">
        <v>25</v>
      </c>
      <c r="F24" s="42">
        <v>12</v>
      </c>
      <c r="G24" s="42">
        <v>0</v>
      </c>
      <c r="H24" s="6">
        <f t="shared" si="7"/>
        <v>4020</v>
      </c>
      <c r="I24" s="6">
        <f t="shared" si="8"/>
        <v>3052.8</v>
      </c>
      <c r="J24" s="11">
        <f t="shared" si="9"/>
        <v>1.5264000000000002</v>
      </c>
      <c r="K24" s="52">
        <f t="shared" si="1"/>
        <v>0.90722092957810585</v>
      </c>
      <c r="L24" s="8">
        <f t="shared" si="19"/>
        <v>0.46591357881045409</v>
      </c>
      <c r="M24" s="52">
        <f t="shared" si="2"/>
        <v>1.48</v>
      </c>
      <c r="N24" s="8">
        <f t="shared" ca="1" si="10"/>
        <v>0.27881333084389459</v>
      </c>
      <c r="O24" s="8">
        <f t="shared" ca="1" si="3"/>
        <v>0.8995726590650347</v>
      </c>
      <c r="P24" s="8">
        <f t="shared" ca="1" si="11"/>
        <v>1.3</v>
      </c>
      <c r="Q24" s="11">
        <f t="shared" si="4"/>
        <v>1</v>
      </c>
      <c r="R24" s="53">
        <f t="shared" si="5"/>
        <v>1</v>
      </c>
      <c r="S24" s="11">
        <f t="shared" ca="1" si="6"/>
        <v>43.269444901028166</v>
      </c>
      <c r="T24" s="55">
        <f t="shared" si="12"/>
        <v>2.0725370883801562</v>
      </c>
      <c r="U24" s="55">
        <f t="shared" ca="1" si="13"/>
        <v>45.341981989408325</v>
      </c>
      <c r="V24" s="11">
        <f t="shared" ca="1" si="14"/>
        <v>0.88799129901764351</v>
      </c>
      <c r="W24" s="13">
        <f t="shared" ca="1" si="15"/>
        <v>2</v>
      </c>
      <c r="X24" s="29">
        <f t="shared" ca="1" si="16"/>
        <v>0.92243984708536542</v>
      </c>
      <c r="Y24" s="8">
        <f t="shared" ca="1" si="17"/>
        <v>1.6382371161579401</v>
      </c>
      <c r="Z24" s="8">
        <f t="shared" ca="1" si="18"/>
        <v>2</v>
      </c>
    </row>
    <row r="25" spans="1:29" ht="14.4" x14ac:dyDescent="0.3">
      <c r="A25" s="40">
        <v>38.5</v>
      </c>
      <c r="B25" s="39">
        <f t="shared" si="0"/>
        <v>11.7348</v>
      </c>
      <c r="C25" s="42" t="s">
        <v>99</v>
      </c>
      <c r="D25" s="42">
        <v>120</v>
      </c>
      <c r="E25" s="42">
        <v>16</v>
      </c>
      <c r="F25" s="42">
        <v>12</v>
      </c>
      <c r="G25" s="42">
        <v>0</v>
      </c>
      <c r="H25" s="6">
        <f t="shared" si="7"/>
        <v>4620</v>
      </c>
      <c r="I25" s="6">
        <f t="shared" si="8"/>
        <v>3340.8</v>
      </c>
      <c r="J25" s="11">
        <f t="shared" si="9"/>
        <v>1.6704000000000001</v>
      </c>
      <c r="K25" s="52">
        <f t="shared" si="1"/>
        <v>0.88756491607624788</v>
      </c>
      <c r="L25" s="8">
        <f t="shared" si="19"/>
        <v>0.47869206950017457</v>
      </c>
      <c r="M25" s="52">
        <f t="shared" si="2"/>
        <v>1.48</v>
      </c>
      <c r="N25" s="8">
        <f t="shared" ca="1" si="10"/>
        <v>0.4050855175418891</v>
      </c>
      <c r="O25" s="8">
        <f t="shared" ca="1" si="3"/>
        <v>0.82672238332431136</v>
      </c>
      <c r="P25" s="8">
        <f t="shared" ca="1" si="11"/>
        <v>1.2434220801739131</v>
      </c>
      <c r="Q25" s="11">
        <f t="shared" si="4"/>
        <v>1</v>
      </c>
      <c r="R25" s="53">
        <f t="shared" si="5"/>
        <v>1</v>
      </c>
      <c r="S25" s="11">
        <f t="shared" ca="1" si="6"/>
        <v>24.342208017394984</v>
      </c>
      <c r="T25" s="55">
        <f t="shared" si="12"/>
        <v>2.0725370883801562</v>
      </c>
      <c r="U25" s="55">
        <f t="shared" ca="1" si="13"/>
        <v>26.41474510577514</v>
      </c>
      <c r="V25" s="11">
        <f t="shared" ca="1" si="14"/>
        <v>0.92566001276569798</v>
      </c>
      <c r="W25" s="13">
        <f t="shared" ca="1" si="15"/>
        <v>0.32784752704250297</v>
      </c>
      <c r="X25" s="29">
        <f t="shared" ca="1" si="16"/>
        <v>0.948733484170316</v>
      </c>
      <c r="Y25" s="8">
        <f t="shared" ca="1" si="17"/>
        <v>0.28791722243428436</v>
      </c>
      <c r="Z25" s="8">
        <f t="shared" ca="1" si="18"/>
        <v>0.60146645574244129</v>
      </c>
    </row>
    <row r="26" spans="1:29" ht="14.4" x14ac:dyDescent="0.3">
      <c r="A26" s="40">
        <v>43.5</v>
      </c>
      <c r="B26" s="39">
        <f t="shared" si="0"/>
        <v>13.258800000000001</v>
      </c>
      <c r="C26" s="42" t="s">
        <v>100</v>
      </c>
      <c r="D26" s="42">
        <v>120</v>
      </c>
      <c r="E26" s="42">
        <v>16</v>
      </c>
      <c r="F26" s="42">
        <v>5</v>
      </c>
      <c r="G26" s="42">
        <v>0</v>
      </c>
      <c r="H26" s="6">
        <f t="shared" si="7"/>
        <v>5220</v>
      </c>
      <c r="I26" s="6">
        <f t="shared" si="8"/>
        <v>3628.8</v>
      </c>
      <c r="J26" s="11">
        <f t="shared" si="9"/>
        <v>1.8144</v>
      </c>
      <c r="K26" s="52">
        <f t="shared" si="1"/>
        <v>0.86732406351407265</v>
      </c>
      <c r="L26" s="8">
        <f t="shared" si="19"/>
        <v>0.48657912491786515</v>
      </c>
      <c r="M26" s="52">
        <f t="shared" si="2"/>
        <v>1.48</v>
      </c>
      <c r="N26" s="8">
        <f t="shared" ca="1" si="10"/>
        <v>0.41398736980047485</v>
      </c>
      <c r="O26" s="8">
        <f t="shared" ca="1" si="3"/>
        <v>0.79556617681861175</v>
      </c>
      <c r="P26" s="8">
        <f t="shared" ca="1" si="11"/>
        <v>1.2321189821152929</v>
      </c>
      <c r="Q26" s="11">
        <f t="shared" si="4"/>
        <v>1</v>
      </c>
      <c r="R26" s="53">
        <f t="shared" si="5"/>
        <v>1</v>
      </c>
      <c r="S26" s="11">
        <f t="shared" ca="1" si="6"/>
        <v>23.211898211534603</v>
      </c>
      <c r="T26" s="55">
        <f t="shared" si="12"/>
        <v>1.9224557841922914E-3</v>
      </c>
      <c r="U26" s="55">
        <f t="shared" ca="1" si="13"/>
        <v>23.213820667318796</v>
      </c>
      <c r="V26" s="11">
        <f t="shared" ca="1" si="14"/>
        <v>0.91648021218008924</v>
      </c>
      <c r="W26" s="13">
        <f t="shared" ca="1" si="15"/>
        <v>0.25316283954983793</v>
      </c>
      <c r="X26" s="29">
        <f t="shared" ca="1" si="16"/>
        <v>0.95908117513249391</v>
      </c>
      <c r="Y26" s="8">
        <f t="shared" ca="1" si="17"/>
        <v>0.22252479900895739</v>
      </c>
      <c r="Z26" s="8">
        <f t="shared" ca="1" si="18"/>
        <v>0.45732500145072952</v>
      </c>
    </row>
    <row r="27" spans="1:29" ht="14.4" x14ac:dyDescent="0.3">
      <c r="A27" s="40">
        <v>48.5</v>
      </c>
      <c r="B27" s="39">
        <f t="shared" si="0"/>
        <v>14.7828</v>
      </c>
      <c r="C27" s="42" t="s">
        <v>100</v>
      </c>
      <c r="D27" s="42">
        <v>120</v>
      </c>
      <c r="E27" s="42">
        <v>19</v>
      </c>
      <c r="F27" s="42">
        <v>5</v>
      </c>
      <c r="G27" s="42">
        <v>0</v>
      </c>
      <c r="H27" s="6">
        <f t="shared" si="7"/>
        <v>5820</v>
      </c>
      <c r="I27" s="6">
        <f t="shared" si="8"/>
        <v>3916.8</v>
      </c>
      <c r="J27" s="11">
        <f t="shared" si="9"/>
        <v>1.9584000000000001</v>
      </c>
      <c r="K27" s="52">
        <f t="shared" si="1"/>
        <v>0.84674535296478959</v>
      </c>
      <c r="L27" s="8">
        <f t="shared" si="19"/>
        <v>0.49069204507748143</v>
      </c>
      <c r="M27" s="52">
        <f t="shared" si="2"/>
        <v>1.48</v>
      </c>
      <c r="N27" s="8">
        <f t="shared" ca="1" si="10"/>
        <v>0.37331684946594185</v>
      </c>
      <c r="O27" s="8">
        <f t="shared" ca="1" si="3"/>
        <v>0.790772681599484</v>
      </c>
      <c r="P27" s="8">
        <f t="shared" ca="1" si="11"/>
        <v>1.2859508092796834</v>
      </c>
      <c r="Q27" s="11">
        <f t="shared" si="4"/>
        <v>1</v>
      </c>
      <c r="R27" s="53">
        <f t="shared" si="5"/>
        <v>1</v>
      </c>
      <c r="S27" s="11">
        <f t="shared" ca="1" si="6"/>
        <v>28.595080928438509</v>
      </c>
      <c r="T27" s="55">
        <f t="shared" si="12"/>
        <v>1.9224557841922914E-3</v>
      </c>
      <c r="U27" s="55">
        <f t="shared" ca="1" si="13"/>
        <v>28.597003384222702</v>
      </c>
      <c r="V27" s="11">
        <f t="shared" ca="1" si="14"/>
        <v>0.88054635299886042</v>
      </c>
      <c r="W27" s="13">
        <f t="shared" ca="1" si="15"/>
        <v>0.40951163292745552</v>
      </c>
      <c r="X27" s="29">
        <f t="shared" ca="1" si="16"/>
        <v>0.94091364355266283</v>
      </c>
      <c r="Y27" s="8">
        <f t="shared" ca="1" si="17"/>
        <v>0.33928779075206889</v>
      </c>
      <c r="Z27" s="8">
        <f t="shared" ca="1" si="18"/>
        <v>0.69144750593724125</v>
      </c>
    </row>
    <row r="28" spans="1:29" ht="14.4" x14ac:dyDescent="0.3">
      <c r="A28" s="40">
        <v>53.5</v>
      </c>
      <c r="B28" s="39">
        <f t="shared" si="0"/>
        <v>16.306799999999999</v>
      </c>
      <c r="C28" s="42" t="s">
        <v>100</v>
      </c>
      <c r="D28" s="42">
        <v>120</v>
      </c>
      <c r="E28" s="42">
        <v>14</v>
      </c>
      <c r="F28" s="42">
        <v>5</v>
      </c>
      <c r="G28" s="42">
        <v>0</v>
      </c>
      <c r="H28" s="6">
        <f t="shared" si="7"/>
        <v>6420</v>
      </c>
      <c r="I28" s="6">
        <f t="shared" si="8"/>
        <v>4204.8</v>
      </c>
      <c r="J28" s="11">
        <f t="shared" si="9"/>
        <v>2.1024000000000003</v>
      </c>
      <c r="K28" s="52">
        <f t="shared" si="1"/>
        <v>0.8260714354531824</v>
      </c>
      <c r="L28" s="8">
        <f t="shared" si="19"/>
        <v>0.49189442068295242</v>
      </c>
      <c r="M28" s="52">
        <f t="shared" si="2"/>
        <v>1.48</v>
      </c>
      <c r="N28" s="8">
        <f t="shared" ca="1" si="10"/>
        <v>0.46133233034990623</v>
      </c>
      <c r="O28" s="8">
        <f t="shared" ca="1" si="3"/>
        <v>0.72410278518950422</v>
      </c>
      <c r="P28" s="8">
        <f t="shared" ca="1" si="11"/>
        <v>1.1765177833343881</v>
      </c>
      <c r="Q28" s="11">
        <f t="shared" si="4"/>
        <v>1</v>
      </c>
      <c r="R28" s="53">
        <f t="shared" si="5"/>
        <v>1</v>
      </c>
      <c r="S28" s="11">
        <f t="shared" ca="1" si="6"/>
        <v>17.651778333439175</v>
      </c>
      <c r="T28" s="55">
        <f t="shared" si="12"/>
        <v>1.9224557841922914E-3</v>
      </c>
      <c r="U28" s="55">
        <f t="shared" ca="1" si="13"/>
        <v>17.653700789223368</v>
      </c>
      <c r="V28" s="11">
        <f t="shared" ca="1" si="14"/>
        <v>0.9145219025981477</v>
      </c>
      <c r="W28" s="13">
        <f t="shared" ca="1" si="15"/>
        <v>0.18022361629955913</v>
      </c>
      <c r="X28" s="29">
        <f t="shared" ca="1" si="16"/>
        <v>0.97388243751858083</v>
      </c>
      <c r="Y28" s="8">
        <f t="shared" ca="1" si="17"/>
        <v>0.16051378844981948</v>
      </c>
      <c r="Z28" s="8">
        <f t="shared" ca="1" si="18"/>
        <v>0.32631756267322592</v>
      </c>
    </row>
    <row r="29" spans="1:29" ht="14.4" x14ac:dyDescent="0.3">
      <c r="A29" s="40">
        <v>58.5</v>
      </c>
      <c r="B29" s="39">
        <f t="shared" si="0"/>
        <v>17.8308</v>
      </c>
      <c r="C29" s="42" t="s">
        <v>100</v>
      </c>
      <c r="D29" s="42">
        <v>120</v>
      </c>
      <c r="E29" s="42">
        <v>26</v>
      </c>
      <c r="F29" s="42">
        <v>5</v>
      </c>
      <c r="G29" s="42">
        <v>0</v>
      </c>
      <c r="H29" s="6">
        <f t="shared" si="7"/>
        <v>7020</v>
      </c>
      <c r="I29" s="6">
        <f t="shared" si="8"/>
        <v>4492.8</v>
      </c>
      <c r="J29" s="11">
        <f t="shared" si="9"/>
        <v>2.2464</v>
      </c>
      <c r="K29" s="52">
        <f t="shared" si="1"/>
        <v>0.80553752168135018</v>
      </c>
      <c r="L29" s="8">
        <f t="shared" si="19"/>
        <v>0.49087442727457276</v>
      </c>
      <c r="M29" s="52">
        <f t="shared" si="2"/>
        <v>1.48</v>
      </c>
      <c r="N29" s="8">
        <f t="shared" ca="1" si="10"/>
        <v>0.29972079581364724</v>
      </c>
      <c r="O29" s="8">
        <f t="shared" ca="1" si="3"/>
        <v>0.79486025990621578</v>
      </c>
      <c r="P29" s="8">
        <f t="shared" ca="1" si="11"/>
        <v>1.3</v>
      </c>
      <c r="Q29" s="11">
        <f t="shared" si="4"/>
        <v>1</v>
      </c>
      <c r="R29" s="53">
        <f t="shared" si="5"/>
        <v>1</v>
      </c>
      <c r="S29" s="11">
        <f t="shared" ca="1" si="6"/>
        <v>39.762089641548535</v>
      </c>
      <c r="T29" s="55">
        <f t="shared" si="12"/>
        <v>1.9224557841922914E-3</v>
      </c>
      <c r="U29" s="55">
        <f t="shared" ca="1" si="13"/>
        <v>39.764012097332724</v>
      </c>
      <c r="V29" s="11">
        <f t="shared" ca="1" si="14"/>
        <v>0.77396887892564403</v>
      </c>
      <c r="W29" s="13">
        <f t="shared" ca="1" si="15"/>
        <v>2</v>
      </c>
      <c r="X29" s="29">
        <f t="shared" ca="1" si="16"/>
        <v>0.92243984708536542</v>
      </c>
      <c r="Y29" s="8">
        <f t="shared" ca="1" si="17"/>
        <v>1.4278794686500056</v>
      </c>
      <c r="Z29" s="8">
        <f t="shared" ca="1" si="18"/>
        <v>2</v>
      </c>
    </row>
    <row r="30" spans="1:29" ht="14.4" x14ac:dyDescent="0.3">
      <c r="A30" s="40">
        <v>78.5</v>
      </c>
      <c r="B30" s="39">
        <f t="shared" si="0"/>
        <v>23.9268</v>
      </c>
      <c r="C30" s="42" t="s">
        <v>101</v>
      </c>
      <c r="D30" s="42">
        <v>120</v>
      </c>
      <c r="E30" s="42">
        <v>16</v>
      </c>
      <c r="F30" s="42">
        <v>0</v>
      </c>
      <c r="G30" s="42">
        <v>0</v>
      </c>
      <c r="H30" s="6">
        <f t="shared" si="7"/>
        <v>9420</v>
      </c>
      <c r="I30" s="6">
        <f t="shared" si="8"/>
        <v>5644.8</v>
      </c>
      <c r="J30" s="11">
        <f t="shared" si="9"/>
        <v>2.8224</v>
      </c>
      <c r="K30" s="52">
        <f t="shared" si="1"/>
        <v>0.72911477828496829</v>
      </c>
      <c r="L30" s="8">
        <f t="shared" si="19"/>
        <v>0.47452910155600136</v>
      </c>
      <c r="M30" s="52">
        <f t="shared" si="2"/>
        <v>1.48</v>
      </c>
      <c r="N30" s="8">
        <f t="shared" ca="1" si="10"/>
        <v>0.46187783124756748</v>
      </c>
      <c r="O30" s="8">
        <f t="shared" ca="1" si="3"/>
        <v>0.63176968004618428</v>
      </c>
      <c r="P30" s="8">
        <f t="shared" ca="1" si="11"/>
        <v>1.1759214470787398</v>
      </c>
      <c r="Q30" s="11">
        <f t="shared" si="4"/>
        <v>1</v>
      </c>
      <c r="R30" s="53">
        <f t="shared" si="5"/>
        <v>1</v>
      </c>
      <c r="S30" s="11">
        <f t="shared" ca="1" si="6"/>
        <v>17.592144707887432</v>
      </c>
      <c r="T30" s="55">
        <f t="shared" si="12"/>
        <v>0</v>
      </c>
      <c r="U30" s="55">
        <f t="shared" ca="1" si="13"/>
        <v>17.592144707887432</v>
      </c>
      <c r="V30" s="11">
        <f t="shared" ca="1" si="14"/>
        <v>0.8788148521485325</v>
      </c>
      <c r="W30" s="13">
        <f t="shared" ca="1" si="15"/>
        <v>0.17961607723315109</v>
      </c>
      <c r="X30" s="29">
        <f t="shared" ca="1" si="16"/>
        <v>0.97402376128424339</v>
      </c>
      <c r="Y30" s="8">
        <f t="shared" ca="1" si="17"/>
        <v>0.15374894587338828</v>
      </c>
      <c r="Z30" s="8">
        <f t="shared" ca="1" si="18"/>
        <v>0.32400319678864553</v>
      </c>
    </row>
    <row r="31" spans="1:29" ht="14.4" x14ac:dyDescent="0.3">
      <c r="A31" s="40">
        <v>98.5</v>
      </c>
      <c r="B31" s="39">
        <f t="shared" si="0"/>
        <v>30.022800000000004</v>
      </c>
      <c r="C31" s="42" t="s">
        <v>101</v>
      </c>
      <c r="D31" s="42">
        <v>120</v>
      </c>
      <c r="E31" s="42">
        <v>26</v>
      </c>
      <c r="F31" s="42">
        <v>0</v>
      </c>
      <c r="G31" s="42">
        <v>0</v>
      </c>
      <c r="H31" s="6">
        <f t="shared" si="7"/>
        <v>11820</v>
      </c>
      <c r="I31" s="6">
        <f t="shared" si="8"/>
        <v>6796.8</v>
      </c>
      <c r="J31" s="11">
        <f t="shared" si="9"/>
        <v>3.3984000000000001</v>
      </c>
      <c r="K31" s="52">
        <f t="shared" si="1"/>
        <v>0.67051987925844558</v>
      </c>
      <c r="L31" s="8">
        <f t="shared" si="19"/>
        <v>0.45476732277035992</v>
      </c>
      <c r="M31" s="52">
        <f t="shared" si="2"/>
        <v>1.48</v>
      </c>
      <c r="N31" s="8">
        <f t="shared" ca="1" si="10"/>
        <v>0.33937734278692638</v>
      </c>
      <c r="O31" s="8">
        <f t="shared" ca="1" si="3"/>
        <v>0.67001160334433418</v>
      </c>
      <c r="P31" s="8">
        <f t="shared" ca="1" si="11"/>
        <v>1.3</v>
      </c>
      <c r="Q31" s="11">
        <f t="shared" si="4"/>
        <v>1</v>
      </c>
      <c r="R31" s="53">
        <f t="shared" si="5"/>
        <v>1</v>
      </c>
      <c r="S31" s="11">
        <f t="shared" ca="1" si="6"/>
        <v>33.516660445696971</v>
      </c>
      <c r="T31" s="55">
        <f t="shared" si="12"/>
        <v>0</v>
      </c>
      <c r="U31" s="55">
        <f t="shared" ca="1" si="13"/>
        <v>33.516660445696971</v>
      </c>
      <c r="V31" s="11">
        <f t="shared" ca="1" si="14"/>
        <v>0.71478226637974263</v>
      </c>
      <c r="W31" s="13">
        <f t="shared" ca="1" si="15"/>
        <v>0.8312678815662129</v>
      </c>
      <c r="X31" s="29">
        <f t="shared" ca="1" si="16"/>
        <v>0.92243984708536542</v>
      </c>
      <c r="Y31" s="8">
        <f t="shared" ca="1" si="17"/>
        <v>0.54809119458654787</v>
      </c>
      <c r="Z31" s="8">
        <f t="shared" ca="1" si="18"/>
        <v>1.2052123517751361</v>
      </c>
    </row>
    <row r="32" spans="1:29" x14ac:dyDescent="0.25">
      <c r="A32" s="41"/>
      <c r="B32" s="39"/>
      <c r="C32" s="42"/>
      <c r="D32" s="42"/>
      <c r="E32" s="42"/>
      <c r="F32" s="42"/>
      <c r="G32" s="42"/>
      <c r="H32" s="6"/>
      <c r="I32" s="6"/>
      <c r="J32" s="6"/>
      <c r="K32" s="8"/>
      <c r="L32" s="13"/>
      <c r="M32" s="13"/>
      <c r="N32" s="8"/>
      <c r="O32" s="8"/>
      <c r="P32" s="8"/>
      <c r="Q32" s="8"/>
      <c r="R32" s="8"/>
      <c r="S32" s="6"/>
      <c r="T32" s="8"/>
      <c r="U32" s="8"/>
      <c r="V32" s="6"/>
      <c r="W32" s="13"/>
      <c r="X32" s="29"/>
      <c r="Y32" s="29"/>
      <c r="Z32" s="8"/>
    </row>
    <row r="33" spans="1:38" x14ac:dyDescent="0.25">
      <c r="A33" s="41"/>
      <c r="B33" s="39"/>
      <c r="C33" s="42"/>
      <c r="D33" s="42"/>
      <c r="E33" s="42"/>
      <c r="F33" s="42"/>
      <c r="G33" s="42"/>
      <c r="H33" s="6"/>
      <c r="I33" s="6"/>
      <c r="J33" s="6"/>
      <c r="K33" s="8"/>
      <c r="L33" s="13"/>
      <c r="M33" s="13"/>
      <c r="N33" s="8"/>
      <c r="O33" s="8"/>
      <c r="P33" s="8"/>
      <c r="Q33" s="8"/>
      <c r="R33" s="8"/>
      <c r="S33" s="6"/>
      <c r="T33" s="8"/>
      <c r="U33" s="8"/>
      <c r="V33" s="6"/>
      <c r="W33" s="13"/>
      <c r="X33" s="29"/>
      <c r="Y33" s="29"/>
      <c r="Z33" s="8"/>
    </row>
    <row r="34" spans="1:38" x14ac:dyDescent="0.25">
      <c r="A34" s="41"/>
      <c r="B34" s="39"/>
      <c r="C34" s="42"/>
      <c r="D34" s="42"/>
      <c r="E34" s="42"/>
      <c r="F34" s="42"/>
      <c r="G34" s="42"/>
      <c r="H34" s="6"/>
      <c r="I34" s="6"/>
      <c r="J34" s="6"/>
      <c r="K34" s="8"/>
      <c r="L34" s="13"/>
      <c r="M34" s="13"/>
      <c r="N34" s="8"/>
      <c r="O34" s="8"/>
      <c r="P34" s="8"/>
      <c r="Q34" s="8"/>
      <c r="R34" s="8"/>
      <c r="S34" s="6"/>
      <c r="T34" s="8"/>
      <c r="U34" s="8"/>
      <c r="V34" s="6"/>
      <c r="W34" s="13"/>
      <c r="X34" s="29"/>
      <c r="Y34" s="29"/>
      <c r="Z34" s="8"/>
    </row>
    <row r="35" spans="1:38" x14ac:dyDescent="0.25">
      <c r="A35" s="41"/>
      <c r="B35" s="39"/>
      <c r="C35" s="42"/>
      <c r="D35" s="42"/>
      <c r="E35" s="42"/>
      <c r="F35" s="42"/>
      <c r="G35" s="42"/>
      <c r="H35" s="6"/>
      <c r="I35" s="6"/>
      <c r="J35" s="6"/>
      <c r="K35" s="8"/>
      <c r="L35" s="13"/>
      <c r="M35" s="13"/>
      <c r="N35" s="8"/>
      <c r="O35" s="8"/>
      <c r="P35" s="8"/>
      <c r="Q35" s="8"/>
      <c r="R35" s="8"/>
      <c r="S35" s="6"/>
      <c r="T35" s="8"/>
      <c r="U35" s="8"/>
      <c r="V35" s="6"/>
      <c r="W35" s="13"/>
      <c r="X35" s="29"/>
      <c r="Y35" s="29"/>
      <c r="Z35" s="8"/>
    </row>
    <row r="36" spans="1:38" x14ac:dyDescent="0.25">
      <c r="A36" s="41"/>
      <c r="B36" s="39"/>
      <c r="C36" s="42"/>
      <c r="D36" s="42"/>
      <c r="E36" s="42"/>
      <c r="F36" s="42"/>
      <c r="G36" s="42"/>
      <c r="H36" s="6"/>
      <c r="I36" s="6"/>
      <c r="J36" s="6"/>
      <c r="K36" s="8"/>
      <c r="L36" s="13"/>
      <c r="M36" s="13"/>
      <c r="N36" s="8"/>
      <c r="O36" s="8"/>
      <c r="P36" s="8"/>
      <c r="Q36" s="8"/>
      <c r="R36" s="8"/>
      <c r="S36" s="6"/>
      <c r="T36" s="8"/>
      <c r="U36" s="8"/>
      <c r="V36" s="6"/>
      <c r="W36" s="13"/>
      <c r="X36" s="29"/>
      <c r="Y36" s="29"/>
      <c r="Z36" s="8"/>
    </row>
    <row r="37" spans="1:38" x14ac:dyDescent="0.25">
      <c r="A37" s="41"/>
      <c r="B37" s="39"/>
      <c r="C37" s="42"/>
      <c r="D37" s="42"/>
      <c r="E37" s="42"/>
      <c r="F37" s="42"/>
      <c r="G37" s="42"/>
      <c r="H37" s="6"/>
      <c r="I37" s="6"/>
      <c r="J37" s="6"/>
      <c r="K37" s="8"/>
      <c r="L37" s="13"/>
      <c r="M37" s="13"/>
      <c r="N37" s="8"/>
      <c r="O37" s="8"/>
      <c r="P37" s="8"/>
      <c r="Q37" s="8"/>
      <c r="R37" s="8"/>
      <c r="S37" s="6"/>
      <c r="T37" s="8"/>
      <c r="U37" s="8"/>
      <c r="V37" s="6"/>
      <c r="W37" s="13"/>
      <c r="X37" s="29"/>
      <c r="Y37" s="29"/>
      <c r="Z37" s="8"/>
    </row>
    <row r="38" spans="1:38" x14ac:dyDescent="0.25">
      <c r="A38" s="41"/>
      <c r="B38" s="39"/>
      <c r="C38" s="42"/>
      <c r="D38" s="42"/>
      <c r="E38" s="42"/>
      <c r="F38" s="42"/>
      <c r="G38" s="42"/>
      <c r="H38" s="6"/>
      <c r="I38" s="6"/>
      <c r="J38" s="8"/>
      <c r="K38" s="8"/>
      <c r="L38" s="13"/>
      <c r="M38" s="13"/>
      <c r="N38" s="8"/>
      <c r="O38" s="8"/>
      <c r="P38" s="8"/>
      <c r="Q38" s="8"/>
      <c r="R38" s="8"/>
      <c r="S38" s="6"/>
      <c r="T38" s="8"/>
      <c r="U38" s="8"/>
      <c r="V38" s="6"/>
      <c r="W38" s="13"/>
      <c r="X38" s="29"/>
      <c r="Y38" s="29"/>
      <c r="Z38" s="8"/>
    </row>
    <row r="39" spans="1:38" ht="18" customHeight="1" x14ac:dyDescent="0.4">
      <c r="A39" t="s">
        <v>44</v>
      </c>
      <c r="C39" s="25"/>
      <c r="D39" s="25"/>
      <c r="E39" s="75"/>
      <c r="F39" s="75"/>
      <c r="G39" s="76"/>
      <c r="H39" s="6"/>
      <c r="I39" s="6"/>
      <c r="J39" s="6"/>
      <c r="K39" s="8"/>
      <c r="L39" s="13"/>
      <c r="M39" s="13"/>
      <c r="N39" s="13"/>
      <c r="O39" s="13"/>
      <c r="P39" s="13"/>
      <c r="Q39" s="13"/>
      <c r="R39" s="13"/>
      <c r="S39" s="6"/>
      <c r="T39" s="6"/>
      <c r="U39" s="6"/>
      <c r="V39" s="6"/>
      <c r="W39" s="13"/>
      <c r="X39" s="29"/>
      <c r="Y39" s="29"/>
      <c r="Z39" s="11"/>
      <c r="AA39" s="65"/>
      <c r="AB39" s="66"/>
      <c r="AC39" s="67"/>
      <c r="AD39" s="65"/>
      <c r="AE39" s="65"/>
      <c r="AF39" s="65"/>
      <c r="AG39" s="65"/>
      <c r="AH39" s="65"/>
      <c r="AI39" s="65"/>
      <c r="AJ39" s="65"/>
      <c r="AK39" s="65"/>
      <c r="AL39" s="65"/>
    </row>
    <row r="40" spans="1:38" ht="15.75" customHeight="1" x14ac:dyDescent="0.3">
      <c r="A40" t="s">
        <v>45</v>
      </c>
      <c r="E40" s="77"/>
      <c r="F40" s="76"/>
      <c r="G40" s="75"/>
      <c r="J40" s="6"/>
      <c r="N40" s="8"/>
      <c r="O40" s="8"/>
      <c r="P40" s="8"/>
      <c r="Q40" s="8"/>
      <c r="W40" s="13"/>
      <c r="X40" s="29"/>
      <c r="Y40" s="29"/>
      <c r="Z40" s="11"/>
      <c r="AA40" s="65"/>
      <c r="AB40" s="68"/>
      <c r="AC40" s="67"/>
      <c r="AD40" s="65"/>
      <c r="AE40" s="65"/>
      <c r="AF40" s="65"/>
      <c r="AG40" s="65"/>
      <c r="AH40" s="65"/>
      <c r="AI40" s="65"/>
      <c r="AJ40" s="65"/>
      <c r="AK40" s="65"/>
      <c r="AL40" s="65"/>
    </row>
    <row r="41" spans="1:38" ht="17.25" customHeight="1" x14ac:dyDescent="0.25">
      <c r="A41" t="s">
        <v>67</v>
      </c>
      <c r="E41" s="77"/>
      <c r="F41" s="75"/>
      <c r="G41" s="75"/>
      <c r="J41" s="6"/>
      <c r="N41" s="8"/>
      <c r="O41" s="8"/>
      <c r="P41" s="8"/>
      <c r="Q41" s="8"/>
      <c r="W41" s="13"/>
      <c r="X41" s="29"/>
      <c r="Y41" s="29"/>
      <c r="Z41" s="11"/>
      <c r="AA41" s="65"/>
      <c r="AB41" s="69"/>
      <c r="AC41" s="67"/>
      <c r="AD41" s="65"/>
      <c r="AE41" s="65"/>
      <c r="AF41" s="65"/>
      <c r="AG41" s="65"/>
      <c r="AH41" s="65"/>
      <c r="AI41" s="65"/>
      <c r="AJ41" s="65"/>
      <c r="AK41" s="65"/>
      <c r="AL41" s="65"/>
    </row>
    <row r="42" spans="1:38" ht="15.75" customHeight="1" x14ac:dyDescent="0.25">
      <c r="A42" t="s">
        <v>68</v>
      </c>
      <c r="J42" s="6"/>
      <c r="W42" s="13"/>
      <c r="X42" s="29"/>
      <c r="Y42" s="29"/>
      <c r="Z42" s="11"/>
      <c r="AA42" s="65"/>
      <c r="AB42" s="65"/>
      <c r="AC42" s="70"/>
      <c r="AD42" s="65"/>
      <c r="AE42" s="65"/>
      <c r="AF42" s="65"/>
      <c r="AG42" s="65"/>
      <c r="AH42" s="65"/>
      <c r="AI42" s="70"/>
      <c r="AJ42" s="65"/>
      <c r="AK42" s="65"/>
      <c r="AL42" s="65"/>
    </row>
    <row r="43" spans="1:38" ht="15.75" customHeight="1" x14ac:dyDescent="0.25">
      <c r="A43" t="s">
        <v>69</v>
      </c>
      <c r="J43" s="6"/>
      <c r="W43" s="13"/>
      <c r="X43" s="29"/>
      <c r="Y43" s="29"/>
      <c r="Z43" s="11"/>
      <c r="AA43" s="65"/>
      <c r="AB43" s="65"/>
      <c r="AC43" s="70"/>
      <c r="AD43" s="65"/>
      <c r="AE43" s="65"/>
      <c r="AF43" s="65"/>
      <c r="AG43" s="65"/>
      <c r="AH43" s="65"/>
      <c r="AI43" s="70"/>
      <c r="AJ43" s="64"/>
      <c r="AK43" s="65"/>
      <c r="AL43" s="65"/>
    </row>
    <row r="44" spans="1:38" ht="15.75" customHeight="1" x14ac:dyDescent="0.25">
      <c r="A44" t="s">
        <v>70</v>
      </c>
      <c r="J44" s="6"/>
      <c r="W44" s="13"/>
      <c r="X44" s="29"/>
      <c r="Y44" s="29"/>
      <c r="Z44" s="11"/>
      <c r="AA44" s="65"/>
      <c r="AB44" s="65"/>
      <c r="AC44" s="70"/>
      <c r="AD44" s="65"/>
      <c r="AE44" s="65"/>
      <c r="AF44" s="65"/>
      <c r="AG44" s="65"/>
      <c r="AH44" s="65"/>
      <c r="AI44" s="70"/>
      <c r="AJ44" s="64"/>
      <c r="AK44" s="65"/>
      <c r="AL44" s="65"/>
    </row>
    <row r="45" spans="1:38" ht="15.75" customHeight="1" x14ac:dyDescent="0.25">
      <c r="A45" s="30">
        <f>200000/96</f>
        <v>2083.3333333333335</v>
      </c>
      <c r="B45" s="30"/>
      <c r="J45" s="6"/>
      <c r="W45" s="13"/>
      <c r="X45" s="29"/>
      <c r="Y45" s="29"/>
      <c r="Z45" s="11"/>
      <c r="AA45" s="65"/>
      <c r="AB45" s="24"/>
      <c r="AC45" s="71"/>
      <c r="AD45" s="64"/>
      <c r="AE45" s="70"/>
      <c r="AF45" s="70"/>
      <c r="AG45" s="65"/>
      <c r="AH45" s="65"/>
      <c r="AI45" s="70"/>
      <c r="AJ45" s="64"/>
      <c r="AK45" s="65"/>
      <c r="AL45" s="65"/>
    </row>
    <row r="46" spans="1:38" ht="15.75" customHeight="1" x14ac:dyDescent="0.25">
      <c r="J46" s="6"/>
      <c r="W46" s="13"/>
      <c r="X46" s="29"/>
      <c r="Y46" s="29"/>
      <c r="Z46" s="11"/>
      <c r="AA46" s="65"/>
      <c r="AB46" s="72"/>
      <c r="AC46" s="71"/>
      <c r="AD46" s="64"/>
      <c r="AE46" s="70"/>
      <c r="AF46" s="70"/>
      <c r="AG46" s="65"/>
      <c r="AH46" s="65"/>
      <c r="AI46" s="70"/>
      <c r="AJ46" s="64"/>
      <c r="AK46" s="65"/>
      <c r="AL46" s="65"/>
    </row>
    <row r="47" spans="1:38" ht="14.4" customHeight="1" x14ac:dyDescent="0.25">
      <c r="J47" s="6"/>
      <c r="X47" s="29"/>
      <c r="Y47" s="29"/>
      <c r="Z47" s="11"/>
      <c r="AA47" s="65"/>
      <c r="AB47" s="23"/>
      <c r="AC47" s="24"/>
      <c r="AD47" s="63"/>
      <c r="AE47" s="86"/>
      <c r="AF47" s="86"/>
      <c r="AG47" s="63"/>
      <c r="AH47" s="63"/>
      <c r="AI47" s="65"/>
      <c r="AJ47" s="70"/>
      <c r="AK47" s="65"/>
      <c r="AL47" s="65"/>
    </row>
    <row r="48" spans="1:38" x14ac:dyDescent="0.25">
      <c r="K48" t="s">
        <v>73</v>
      </c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</row>
    <row r="49" spans="27:38" x14ac:dyDescent="0.25"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</row>
  </sheetData>
  <mergeCells count="11">
    <mergeCell ref="A13:B13"/>
    <mergeCell ref="M13:R13"/>
    <mergeCell ref="K13:L13"/>
    <mergeCell ref="C13:G13"/>
    <mergeCell ref="S13:Z13"/>
    <mergeCell ref="H13:J13"/>
    <mergeCell ref="P1:Z1"/>
    <mergeCell ref="Q2:AA2"/>
    <mergeCell ref="T14:T15"/>
    <mergeCell ref="N15:O15"/>
    <mergeCell ref="AE47:AF47"/>
  </mergeCells>
  <phoneticPr fontId="18" type="noConversion"/>
  <conditionalFormatting sqref="Z16:Z31">
    <cfRule type="cellIs" dxfId="2" priority="1" stopIfTrue="1" operator="lessThan">
      <formula>1</formula>
    </cfRule>
    <cfRule type="cellIs" dxfId="1" priority="2" stopIfTrue="1" operator="greaterThan">
      <formula>1</formula>
    </cfRule>
    <cfRule type="cellIs" dxfId="0" priority="3" stopIfTrue="1" operator="greaterThan">
      <formula>2</formula>
    </cfRule>
  </conditionalFormatting>
  <printOptions horizontalCentered="1" verticalCentered="1"/>
  <pageMargins left="0.75" right="0.75" top="1" bottom="1" header="0.5" footer="0.5"/>
  <pageSetup scale="53" orientation="landscape"/>
  <headerFooter alignWithMargins="0"/>
  <colBreaks count="1" manualBreakCount="1">
    <brk id="18" max="1048575" man="1"/>
  </colBreak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2" workbookViewId="0">
      <selection activeCell="B4" sqref="B4"/>
    </sheetView>
  </sheetViews>
  <sheetFormatPr defaultRowHeight="13.2" x14ac:dyDescent="0.25"/>
  <cols>
    <col min="4" max="4" width="12.109375" bestFit="1" customWidth="1"/>
    <col min="5" max="5" width="12.109375" customWidth="1"/>
  </cols>
  <sheetData>
    <row r="1" spans="1:20" ht="13.2" customHeight="1" x14ac:dyDescent="0.25">
      <c r="A1" s="73" t="s">
        <v>105</v>
      </c>
      <c r="B1" s="73"/>
      <c r="C1" s="73"/>
      <c r="D1" s="73"/>
      <c r="E1" s="74"/>
      <c r="O1" s="96" t="s">
        <v>106</v>
      </c>
      <c r="P1" s="97"/>
    </row>
    <row r="2" spans="1:20" ht="13.2" customHeight="1" x14ac:dyDescent="0.25">
      <c r="O2" s="73" t="s">
        <v>105</v>
      </c>
      <c r="P2" s="73"/>
      <c r="Q2" s="73"/>
      <c r="R2" s="73"/>
      <c r="S2" s="74"/>
    </row>
    <row r="3" spans="1:20" x14ac:dyDescent="0.25">
      <c r="A3" s="35" t="s">
        <v>75</v>
      </c>
      <c r="B3" s="35" t="s">
        <v>59</v>
      </c>
      <c r="D3" s="36" t="s">
        <v>77</v>
      </c>
      <c r="E3" s="36" t="s">
        <v>77</v>
      </c>
      <c r="F3" s="35" t="s">
        <v>75</v>
      </c>
      <c r="O3" s="35" t="s">
        <v>75</v>
      </c>
      <c r="P3" s="35" t="s">
        <v>59</v>
      </c>
      <c r="R3" s="36" t="s">
        <v>77</v>
      </c>
      <c r="S3" s="36" t="s">
        <v>77</v>
      </c>
      <c r="T3" s="35" t="s">
        <v>75</v>
      </c>
    </row>
    <row r="4" spans="1:20" x14ac:dyDescent="0.25">
      <c r="A4" s="11">
        <f>IF('B-1'!A16=0," ",'B-1'!A16)</f>
        <v>1</v>
      </c>
      <c r="B4" s="2">
        <f>'B-1'!$E$16</f>
        <v>9</v>
      </c>
      <c r="D4" s="37">
        <f>B4</f>
        <v>9</v>
      </c>
      <c r="E4" s="37">
        <f>IF(D4="n.a.",0,(IF(D4=0,0,D4)))</f>
        <v>9</v>
      </c>
      <c r="F4">
        <v>0</v>
      </c>
      <c r="O4" s="11">
        <f ca="1">IF('B-1'!N16=0," ",'B-1'!A16)</f>
        <v>1</v>
      </c>
      <c r="P4" s="6" t="str">
        <f>'B-1'!$U$16</f>
        <v>n.a.</v>
      </c>
      <c r="R4" s="37" t="str">
        <f>P4</f>
        <v>n.a.</v>
      </c>
      <c r="S4" s="6">
        <f t="shared" ref="S4:S43" si="0">IF(R4="n.a.",0,(IF(R4=0,0,R4)))</f>
        <v>0</v>
      </c>
      <c r="T4">
        <v>0</v>
      </c>
    </row>
    <row r="5" spans="1:20" x14ac:dyDescent="0.25">
      <c r="A5" s="11">
        <f>IF('B-1'!A17=0," ",'B-1'!A17)</f>
        <v>3.5</v>
      </c>
      <c r="B5" s="2">
        <f>'B-1'!$E$17</f>
        <v>8</v>
      </c>
      <c r="D5" s="37">
        <f>B4</f>
        <v>9</v>
      </c>
      <c r="E5" s="37">
        <f t="shared" ref="E5:E36" si="1">IF(D5="n.a.",0,(IF(D5=0,0,D5)))</f>
        <v>9</v>
      </c>
      <c r="F5">
        <f>A4</f>
        <v>1</v>
      </c>
      <c r="O5" s="11">
        <f ca="1">IF('B-1'!N17=0," ",'B-1'!A17)</f>
        <v>3.5</v>
      </c>
      <c r="P5" s="6">
        <f ca="1">'B-1'!$U$17</f>
        <v>23.280302476719509</v>
      </c>
      <c r="R5" s="37" t="str">
        <f>P4</f>
        <v>n.a.</v>
      </c>
      <c r="S5" s="6">
        <f t="shared" si="0"/>
        <v>0</v>
      </c>
      <c r="T5">
        <f ca="1">O4</f>
        <v>1</v>
      </c>
    </row>
    <row r="6" spans="1:20" x14ac:dyDescent="0.25">
      <c r="A6" s="11">
        <f>IF('B-1'!A18=0," ",'B-1'!A18)</f>
        <v>6</v>
      </c>
      <c r="B6" s="2">
        <f>'B-1'!$E$18</f>
        <v>7</v>
      </c>
      <c r="D6" s="37">
        <f>B5</f>
        <v>8</v>
      </c>
      <c r="E6" s="37">
        <f t="shared" si="1"/>
        <v>8</v>
      </c>
      <c r="F6">
        <f>A4</f>
        <v>1</v>
      </c>
      <c r="O6" s="11">
        <f ca="1">IF('B-1'!N18=0," ",'B-1'!A18)</f>
        <v>6</v>
      </c>
      <c r="P6" s="6">
        <f ca="1">'B-1'!$U$18</f>
        <v>20.502390367107218</v>
      </c>
      <c r="R6" s="37">
        <f ca="1">P5</f>
        <v>23.280302476719509</v>
      </c>
      <c r="S6" s="6">
        <f t="shared" ca="1" si="0"/>
        <v>23.280302476719509</v>
      </c>
      <c r="T6">
        <f ca="1">O4</f>
        <v>1</v>
      </c>
    </row>
    <row r="7" spans="1:20" x14ac:dyDescent="0.25">
      <c r="A7" s="11">
        <f>IF('B-1'!A19=0," ",'B-1'!A19)</f>
        <v>8.5</v>
      </c>
      <c r="B7" s="2">
        <f>'B-1'!$E$19</f>
        <v>5</v>
      </c>
      <c r="D7" s="37">
        <f>B5</f>
        <v>8</v>
      </c>
      <c r="E7" s="37">
        <f t="shared" si="1"/>
        <v>8</v>
      </c>
      <c r="F7">
        <f>A5</f>
        <v>3.5</v>
      </c>
      <c r="O7" s="11">
        <f ca="1">IF('B-1'!N19=0," ",'B-1'!A19)</f>
        <v>8.5</v>
      </c>
      <c r="P7" s="6">
        <f ca="1">'B-1'!$U$19</f>
        <v>11.701004023525325</v>
      </c>
      <c r="R7" s="37">
        <f ca="1">P5</f>
        <v>23.280302476719509</v>
      </c>
      <c r="S7" s="6">
        <f t="shared" ca="1" si="0"/>
        <v>23.280302476719509</v>
      </c>
      <c r="T7">
        <f ca="1">O5</f>
        <v>3.5</v>
      </c>
    </row>
    <row r="8" spans="1:20" x14ac:dyDescent="0.25">
      <c r="A8" s="11">
        <f>IF('B-1'!A20=0," ",'B-1'!A20)</f>
        <v>13.5</v>
      </c>
      <c r="B8" s="2">
        <f>'B-1'!$E$20</f>
        <v>19</v>
      </c>
      <c r="D8" s="37">
        <f>B6</f>
        <v>7</v>
      </c>
      <c r="E8" s="37">
        <f t="shared" si="1"/>
        <v>7</v>
      </c>
      <c r="F8">
        <f>A5</f>
        <v>3.5</v>
      </c>
      <c r="O8" s="11">
        <f ca="1">IF('B-1'!N20=0," ",'B-1'!A20)</f>
        <v>13.5</v>
      </c>
      <c r="P8" s="6">
        <f ca="1">'B-1'!$U$20</f>
        <v>35.923905356185429</v>
      </c>
      <c r="R8" s="37">
        <f ca="1">P6</f>
        <v>20.502390367107218</v>
      </c>
      <c r="S8" s="6">
        <f t="shared" ca="1" si="0"/>
        <v>20.502390367107218</v>
      </c>
      <c r="T8">
        <f ca="1">O5</f>
        <v>3.5</v>
      </c>
    </row>
    <row r="9" spans="1:20" x14ac:dyDescent="0.25">
      <c r="A9" s="11">
        <f>IF('B-1'!A21=0," ",'B-1'!A21)</f>
        <v>18.5</v>
      </c>
      <c r="B9" s="2">
        <f>'B-1'!$E$20</f>
        <v>19</v>
      </c>
      <c r="D9" s="37">
        <f>B6</f>
        <v>7</v>
      </c>
      <c r="E9" s="37">
        <f t="shared" si="1"/>
        <v>7</v>
      </c>
      <c r="F9">
        <f>A6</f>
        <v>6</v>
      </c>
      <c r="O9" s="11">
        <f ca="1">IF('B-1'!N21=0," ",'B-1'!A21)</f>
        <v>18.5</v>
      </c>
      <c r="P9" s="6">
        <f ca="1">'B-1'!$U$20</f>
        <v>35.923905356185429</v>
      </c>
      <c r="R9" s="37">
        <f ca="1">P6</f>
        <v>20.502390367107218</v>
      </c>
      <c r="S9" s="6">
        <f t="shared" ca="1" si="0"/>
        <v>20.502390367107218</v>
      </c>
      <c r="T9">
        <f ca="1">O6</f>
        <v>6</v>
      </c>
    </row>
    <row r="10" spans="1:20" x14ac:dyDescent="0.25">
      <c r="A10" s="11">
        <f>IF('B-1'!A22=0," ",'B-1'!A22)</f>
        <v>23.5</v>
      </c>
      <c r="B10" s="2">
        <f>'B-1'!$E$22</f>
        <v>14</v>
      </c>
      <c r="D10" s="37">
        <f>B7</f>
        <v>5</v>
      </c>
      <c r="E10" s="37">
        <f t="shared" si="1"/>
        <v>5</v>
      </c>
      <c r="F10">
        <f>A6</f>
        <v>6</v>
      </c>
      <c r="O10" s="11">
        <f ca="1">IF('B-1'!N22=0," ",'B-1'!A22)</f>
        <v>23.5</v>
      </c>
      <c r="P10" s="6">
        <f ca="1">'B-1'!$U$22</f>
        <v>24.505940685039441</v>
      </c>
      <c r="R10" s="37">
        <f ca="1">P7</f>
        <v>11.701004023525325</v>
      </c>
      <c r="S10" s="6">
        <f t="shared" ca="1" si="0"/>
        <v>11.701004023525325</v>
      </c>
      <c r="T10">
        <f ca="1">O6</f>
        <v>6</v>
      </c>
    </row>
    <row r="11" spans="1:20" x14ac:dyDescent="0.25">
      <c r="A11" s="11">
        <f>IF('B-1'!A23=0," ",'B-1'!A23)</f>
        <v>28.5</v>
      </c>
      <c r="B11" s="2">
        <f>'B-1'!$E$23</f>
        <v>14</v>
      </c>
      <c r="D11" s="37">
        <f>B7</f>
        <v>5</v>
      </c>
      <c r="E11" s="37">
        <f t="shared" si="1"/>
        <v>5</v>
      </c>
      <c r="F11">
        <f>A7</f>
        <v>8.5</v>
      </c>
      <c r="O11" s="11">
        <f ca="1">IF('B-1'!N23=0," ",'B-1'!A23)</f>
        <v>28.5</v>
      </c>
      <c r="P11" s="6">
        <f ca="1">'B-1'!$U$23</f>
        <v>23.200318997444935</v>
      </c>
      <c r="R11" s="37">
        <f ca="1">P7</f>
        <v>11.701004023525325</v>
      </c>
      <c r="S11" s="6">
        <f t="shared" ca="1" si="0"/>
        <v>11.701004023525325</v>
      </c>
      <c r="T11">
        <f ca="1">O7</f>
        <v>8.5</v>
      </c>
    </row>
    <row r="12" spans="1:20" x14ac:dyDescent="0.25">
      <c r="A12" s="11">
        <f>IF('B-1'!A24=0," ",'B-1'!A24)</f>
        <v>33.5</v>
      </c>
      <c r="B12" s="2">
        <f>'B-1'!$E$24</f>
        <v>25</v>
      </c>
      <c r="D12" s="37">
        <f>B8</f>
        <v>19</v>
      </c>
      <c r="E12" s="37">
        <f t="shared" si="1"/>
        <v>19</v>
      </c>
      <c r="F12">
        <f>A7</f>
        <v>8.5</v>
      </c>
      <c r="O12" s="11">
        <f ca="1">IF('B-1'!N24=0," ",'B-1'!A24)</f>
        <v>33.5</v>
      </c>
      <c r="P12" s="6">
        <f ca="1">'B-1'!$U$24</f>
        <v>45.341981989408325</v>
      </c>
      <c r="R12" s="37">
        <f ca="1">P8</f>
        <v>35.923905356185429</v>
      </c>
      <c r="S12" s="6">
        <f t="shared" ca="1" si="0"/>
        <v>35.923905356185429</v>
      </c>
      <c r="T12">
        <f ca="1">O7</f>
        <v>8.5</v>
      </c>
    </row>
    <row r="13" spans="1:20" x14ac:dyDescent="0.25">
      <c r="A13" s="11">
        <f>IF('B-1'!A25=0," ",'B-1'!A25)</f>
        <v>38.5</v>
      </c>
      <c r="B13" s="2">
        <f>'B-1'!$E$25</f>
        <v>16</v>
      </c>
      <c r="D13" s="37">
        <f>B8</f>
        <v>19</v>
      </c>
      <c r="E13" s="37">
        <f t="shared" si="1"/>
        <v>19</v>
      </c>
      <c r="F13">
        <f>A8</f>
        <v>13.5</v>
      </c>
      <c r="O13" s="11">
        <f ca="1">IF('B-1'!N25=0," ",'B-1'!A25)</f>
        <v>38.5</v>
      </c>
      <c r="P13" s="6">
        <f ca="1">'B-1'!$U$25</f>
        <v>26.41474510577514</v>
      </c>
      <c r="R13" s="37">
        <f ca="1">P8</f>
        <v>35.923905356185429</v>
      </c>
      <c r="S13" s="6">
        <f t="shared" ca="1" si="0"/>
        <v>35.923905356185429</v>
      </c>
      <c r="T13">
        <f ca="1">O8</f>
        <v>13.5</v>
      </c>
    </row>
    <row r="14" spans="1:20" x14ac:dyDescent="0.25">
      <c r="A14" s="11">
        <f>IF('B-1'!A26=0," ",'B-1'!A26)</f>
        <v>43.5</v>
      </c>
      <c r="B14" s="2">
        <f>'B-1'!$E$26</f>
        <v>16</v>
      </c>
      <c r="D14" s="37">
        <f>B9</f>
        <v>19</v>
      </c>
      <c r="E14" s="37">
        <f t="shared" si="1"/>
        <v>19</v>
      </c>
      <c r="F14">
        <f>A8</f>
        <v>13.5</v>
      </c>
      <c r="O14" s="11">
        <f ca="1">IF('B-1'!N26=0," ",'B-1'!A26)</f>
        <v>43.5</v>
      </c>
      <c r="P14" s="6">
        <f ca="1">'B-1'!$U$26</f>
        <v>23.213820667318796</v>
      </c>
      <c r="R14" s="37">
        <f ca="1">P9</f>
        <v>35.923905356185429</v>
      </c>
      <c r="S14" s="6">
        <f t="shared" ca="1" si="0"/>
        <v>35.923905356185429</v>
      </c>
      <c r="T14">
        <f ca="1">O8</f>
        <v>13.5</v>
      </c>
    </row>
    <row r="15" spans="1:20" x14ac:dyDescent="0.25">
      <c r="A15" s="11">
        <f>IF('B-1'!A27=0," ",'B-1'!A27)</f>
        <v>48.5</v>
      </c>
      <c r="B15" s="2">
        <f>'B-1'!$E$27</f>
        <v>19</v>
      </c>
      <c r="D15" s="37">
        <f>B9</f>
        <v>19</v>
      </c>
      <c r="E15" s="37">
        <f t="shared" si="1"/>
        <v>19</v>
      </c>
      <c r="F15">
        <f>A9</f>
        <v>18.5</v>
      </c>
      <c r="O15" s="11">
        <f ca="1">IF('B-1'!N27=0," ",'B-1'!A27)</f>
        <v>48.5</v>
      </c>
      <c r="P15" s="6">
        <f ca="1">'B-1'!$U$27</f>
        <v>28.597003384222702</v>
      </c>
      <c r="R15" s="37">
        <f ca="1">P9</f>
        <v>35.923905356185429</v>
      </c>
      <c r="S15" s="6">
        <f t="shared" ca="1" si="0"/>
        <v>35.923905356185429</v>
      </c>
      <c r="T15">
        <f ca="1">O9</f>
        <v>18.5</v>
      </c>
    </row>
    <row r="16" spans="1:20" x14ac:dyDescent="0.25">
      <c r="A16" s="11">
        <f>IF('B-1'!A28=0," ",'B-1'!A28)</f>
        <v>53.5</v>
      </c>
      <c r="B16" s="2">
        <f>'B-1'!$E$28</f>
        <v>14</v>
      </c>
      <c r="D16" s="37">
        <f>B10</f>
        <v>14</v>
      </c>
      <c r="E16" s="37">
        <f t="shared" si="1"/>
        <v>14</v>
      </c>
      <c r="F16">
        <f>A9</f>
        <v>18.5</v>
      </c>
      <c r="O16" s="11">
        <f ca="1">IF('B-1'!N28=0," ",'B-1'!A28)</f>
        <v>53.5</v>
      </c>
      <c r="P16" s="6">
        <f ca="1">'B-1'!$U$28</f>
        <v>17.653700789223368</v>
      </c>
      <c r="R16" s="37">
        <f ca="1">P10</f>
        <v>24.505940685039441</v>
      </c>
      <c r="S16" s="6">
        <f t="shared" ca="1" si="0"/>
        <v>24.505940685039441</v>
      </c>
      <c r="T16">
        <f ca="1">O9</f>
        <v>18.5</v>
      </c>
    </row>
    <row r="17" spans="1:20" x14ac:dyDescent="0.25">
      <c r="A17" s="11">
        <f>IF('B-1'!A29=0," ",'B-1'!A29)</f>
        <v>58.5</v>
      </c>
      <c r="B17" s="2">
        <f>'B-1'!$E$29</f>
        <v>26</v>
      </c>
      <c r="D17" s="37">
        <f>B10</f>
        <v>14</v>
      </c>
      <c r="E17" s="37">
        <f t="shared" si="1"/>
        <v>14</v>
      </c>
      <c r="F17">
        <f>A10</f>
        <v>23.5</v>
      </c>
      <c r="O17" s="11">
        <f ca="1">IF('B-1'!N29=0," ",'B-1'!A29)</f>
        <v>58.5</v>
      </c>
      <c r="P17" s="6">
        <f ca="1">'B-1'!$U$29</f>
        <v>39.764012097332724</v>
      </c>
      <c r="R17" s="37">
        <f ca="1">P10</f>
        <v>24.505940685039441</v>
      </c>
      <c r="S17" s="6">
        <f t="shared" ca="1" si="0"/>
        <v>24.505940685039441</v>
      </c>
      <c r="T17">
        <f ca="1">O10</f>
        <v>23.5</v>
      </c>
    </row>
    <row r="18" spans="1:20" x14ac:dyDescent="0.25">
      <c r="A18" s="11">
        <f>IF('B-1'!A30=0," ",'B-1'!A30)</f>
        <v>78.5</v>
      </c>
      <c r="B18" s="2">
        <f>'B-1'!$E$30</f>
        <v>16</v>
      </c>
      <c r="D18" s="37">
        <f>B11</f>
        <v>14</v>
      </c>
      <c r="E18" s="37">
        <f t="shared" si="1"/>
        <v>14</v>
      </c>
      <c r="F18">
        <f>A10</f>
        <v>23.5</v>
      </c>
      <c r="O18" s="11">
        <f ca="1">IF('B-1'!N30=0," ",'B-1'!A30)</f>
        <v>78.5</v>
      </c>
      <c r="P18" s="6">
        <f ca="1">'B-1'!$U$30</f>
        <v>17.592144707887432</v>
      </c>
      <c r="R18" s="37">
        <f ca="1">P11</f>
        <v>23.200318997444935</v>
      </c>
      <c r="S18" s="6">
        <f t="shared" ca="1" si="0"/>
        <v>23.200318997444935</v>
      </c>
      <c r="T18">
        <f ca="1">O10</f>
        <v>23.5</v>
      </c>
    </row>
    <row r="19" spans="1:20" x14ac:dyDescent="0.25">
      <c r="A19" s="11">
        <f>IF('B-1'!A31=0," ",'B-1'!A31)</f>
        <v>98.5</v>
      </c>
      <c r="B19" s="2">
        <f>'B-1'!$E$31</f>
        <v>26</v>
      </c>
      <c r="D19" s="37">
        <f>B11</f>
        <v>14</v>
      </c>
      <c r="E19" s="37">
        <f t="shared" si="1"/>
        <v>14</v>
      </c>
      <c r="F19">
        <f>A11</f>
        <v>28.5</v>
      </c>
      <c r="O19" s="11">
        <f ca="1">IF('B-1'!N31=0," ",'B-1'!A31)</f>
        <v>98.5</v>
      </c>
      <c r="P19" s="6">
        <f ca="1">'B-1'!$U$31</f>
        <v>33.516660445696971</v>
      </c>
      <c r="R19" s="37">
        <f ca="1">P11</f>
        <v>23.200318997444935</v>
      </c>
      <c r="S19" s="6">
        <f t="shared" ca="1" si="0"/>
        <v>23.200318997444935</v>
      </c>
      <c r="T19">
        <f ca="1">O11</f>
        <v>28.5</v>
      </c>
    </row>
    <row r="20" spans="1:20" x14ac:dyDescent="0.25">
      <c r="A20" s="11" t="str">
        <f>IF('B-1'!A32=0," ",'B-1'!A32)</f>
        <v xml:space="preserve"> </v>
      </c>
      <c r="B20" s="2">
        <f>'B-1'!$E$32</f>
        <v>0</v>
      </c>
      <c r="D20" s="37">
        <f>B12</f>
        <v>25</v>
      </c>
      <c r="E20" s="37">
        <f t="shared" si="1"/>
        <v>25</v>
      </c>
      <c r="F20">
        <f>A11</f>
        <v>28.5</v>
      </c>
      <c r="O20" s="11" t="str">
        <f>IF('B-1'!N32=0," ",'B-1'!A32)</f>
        <v xml:space="preserve"> </v>
      </c>
      <c r="P20" s="2">
        <f>'B-1'!$U$32</f>
        <v>0</v>
      </c>
      <c r="R20" s="37">
        <f ca="1">P12</f>
        <v>45.341981989408325</v>
      </c>
      <c r="S20" s="6">
        <f t="shared" ca="1" si="0"/>
        <v>45.341981989408325</v>
      </c>
      <c r="T20">
        <f ca="1">O11</f>
        <v>28.5</v>
      </c>
    </row>
    <row r="21" spans="1:20" x14ac:dyDescent="0.25">
      <c r="A21" s="11" t="str">
        <f>IF('B-1'!A33=0," ",'B-1'!A33)</f>
        <v xml:space="preserve"> </v>
      </c>
      <c r="B21" s="2">
        <f>'B-1'!$E$33</f>
        <v>0</v>
      </c>
      <c r="D21" s="37">
        <f>B12</f>
        <v>25</v>
      </c>
      <c r="E21" s="37">
        <f t="shared" si="1"/>
        <v>25</v>
      </c>
      <c r="F21">
        <f>A12</f>
        <v>33.5</v>
      </c>
      <c r="O21" s="11" t="str">
        <f>IF('B-1'!N33=0," ",'B-1'!A33)</f>
        <v xml:space="preserve"> </v>
      </c>
      <c r="P21" s="2">
        <f>'B-1'!$U$33</f>
        <v>0</v>
      </c>
      <c r="R21" s="37">
        <f ca="1">P12</f>
        <v>45.341981989408325</v>
      </c>
      <c r="S21" s="6">
        <f t="shared" ca="1" si="0"/>
        <v>45.341981989408325</v>
      </c>
      <c r="T21">
        <f ca="1">O12</f>
        <v>33.5</v>
      </c>
    </row>
    <row r="22" spans="1:20" x14ac:dyDescent="0.25">
      <c r="A22" s="11" t="str">
        <f>IF('B-1'!A34=0," ",'B-1'!A34)</f>
        <v xml:space="preserve"> </v>
      </c>
      <c r="B22" s="2">
        <f>'B-1'!$E$34</f>
        <v>0</v>
      </c>
      <c r="D22" s="37">
        <f>B13</f>
        <v>16</v>
      </c>
      <c r="E22" s="37">
        <f t="shared" si="1"/>
        <v>16</v>
      </c>
      <c r="F22">
        <f>A12</f>
        <v>33.5</v>
      </c>
      <c r="O22" s="11" t="str">
        <f>IF('B-1'!N34=0," ",'B-1'!A34)</f>
        <v xml:space="preserve"> </v>
      </c>
      <c r="P22" s="2">
        <f>'B-1'!$U$34</f>
        <v>0</v>
      </c>
      <c r="R22" s="37">
        <f ca="1">P13</f>
        <v>26.41474510577514</v>
      </c>
      <c r="S22" s="6">
        <f t="shared" ca="1" si="0"/>
        <v>26.41474510577514</v>
      </c>
      <c r="T22">
        <f ca="1">O12</f>
        <v>33.5</v>
      </c>
    </row>
    <row r="23" spans="1:20" x14ac:dyDescent="0.25">
      <c r="A23" s="11"/>
      <c r="B23" s="2"/>
      <c r="D23" s="37">
        <f>B13</f>
        <v>16</v>
      </c>
      <c r="E23" s="37">
        <f t="shared" si="1"/>
        <v>16</v>
      </c>
      <c r="F23">
        <f>A13</f>
        <v>38.5</v>
      </c>
      <c r="O23" s="11" t="str">
        <f>IF('B-1'!N35=0," ",'B-1'!A35)</f>
        <v xml:space="preserve"> </v>
      </c>
      <c r="P23" s="2"/>
      <c r="R23" s="37">
        <f ca="1">P13</f>
        <v>26.41474510577514</v>
      </c>
      <c r="S23" s="6">
        <f t="shared" ca="1" si="0"/>
        <v>26.41474510577514</v>
      </c>
      <c r="T23">
        <f ca="1">O13</f>
        <v>38.5</v>
      </c>
    </row>
    <row r="24" spans="1:20" x14ac:dyDescent="0.25">
      <c r="A24" s="11"/>
      <c r="B24" s="2"/>
      <c r="D24" s="37">
        <f>B14</f>
        <v>16</v>
      </c>
      <c r="E24" s="37">
        <f t="shared" si="1"/>
        <v>16</v>
      </c>
      <c r="F24">
        <f>A13</f>
        <v>38.5</v>
      </c>
      <c r="O24" s="11" t="str">
        <f>IF('B-1'!N36=0," ",'B-1'!A36)</f>
        <v xml:space="preserve"> </v>
      </c>
      <c r="P24" s="2"/>
      <c r="R24" s="37">
        <f ca="1">P14</f>
        <v>23.213820667318796</v>
      </c>
      <c r="S24" s="6">
        <f t="shared" ca="1" si="0"/>
        <v>23.213820667318796</v>
      </c>
      <c r="T24">
        <f ca="1">O13</f>
        <v>38.5</v>
      </c>
    </row>
    <row r="25" spans="1:20" x14ac:dyDescent="0.25">
      <c r="A25" s="2"/>
      <c r="B25" s="2"/>
      <c r="D25" s="37">
        <f>B14</f>
        <v>16</v>
      </c>
      <c r="E25" s="37">
        <f t="shared" si="1"/>
        <v>16</v>
      </c>
      <c r="F25">
        <f>A14</f>
        <v>43.5</v>
      </c>
      <c r="O25" s="2"/>
      <c r="P25" s="2"/>
      <c r="R25" s="37">
        <f ca="1">P14</f>
        <v>23.213820667318796</v>
      </c>
      <c r="S25" s="6">
        <f t="shared" ca="1" si="0"/>
        <v>23.213820667318796</v>
      </c>
      <c r="T25">
        <f ca="1">O14</f>
        <v>43.5</v>
      </c>
    </row>
    <row r="26" spans="1:20" x14ac:dyDescent="0.25">
      <c r="A26" s="2"/>
      <c r="B26" s="2"/>
      <c r="D26" s="37">
        <f>B15</f>
        <v>19</v>
      </c>
      <c r="E26" s="37">
        <f t="shared" si="1"/>
        <v>19</v>
      </c>
      <c r="F26">
        <f>A14</f>
        <v>43.5</v>
      </c>
      <c r="O26" s="2"/>
      <c r="P26" s="2"/>
      <c r="R26" s="37">
        <f ca="1">P15</f>
        <v>28.597003384222702</v>
      </c>
      <c r="S26" s="6">
        <f t="shared" ca="1" si="0"/>
        <v>28.597003384222702</v>
      </c>
      <c r="T26">
        <f ca="1">O14</f>
        <v>43.5</v>
      </c>
    </row>
    <row r="27" spans="1:20" x14ac:dyDescent="0.25">
      <c r="A27" s="2"/>
      <c r="B27" s="2"/>
      <c r="D27" s="37">
        <f>B15</f>
        <v>19</v>
      </c>
      <c r="E27" s="37">
        <f t="shared" si="1"/>
        <v>19</v>
      </c>
      <c r="F27">
        <f>A15</f>
        <v>48.5</v>
      </c>
      <c r="O27" s="2"/>
      <c r="P27" s="2"/>
      <c r="R27" s="37">
        <f ca="1">P15</f>
        <v>28.597003384222702</v>
      </c>
      <c r="S27" s="6">
        <f t="shared" ca="1" si="0"/>
        <v>28.597003384222702</v>
      </c>
      <c r="T27">
        <f ca="1">O15</f>
        <v>48.5</v>
      </c>
    </row>
    <row r="28" spans="1:20" x14ac:dyDescent="0.25">
      <c r="A28" s="2"/>
      <c r="B28" s="2"/>
      <c r="D28" s="37">
        <f>B16</f>
        <v>14</v>
      </c>
      <c r="E28" s="37">
        <f t="shared" si="1"/>
        <v>14</v>
      </c>
      <c r="F28">
        <f>A15</f>
        <v>48.5</v>
      </c>
      <c r="O28" s="2"/>
      <c r="P28" s="2"/>
      <c r="R28" s="37">
        <f ca="1">P16</f>
        <v>17.653700789223368</v>
      </c>
      <c r="S28" s="6">
        <f t="shared" ca="1" si="0"/>
        <v>17.653700789223368</v>
      </c>
      <c r="T28">
        <f ca="1">O15</f>
        <v>48.5</v>
      </c>
    </row>
    <row r="29" spans="1:20" x14ac:dyDescent="0.25">
      <c r="A29" s="2"/>
      <c r="B29" s="2"/>
      <c r="D29" s="37">
        <f>B16</f>
        <v>14</v>
      </c>
      <c r="E29" s="37">
        <f t="shared" si="1"/>
        <v>14</v>
      </c>
      <c r="F29">
        <f>A16</f>
        <v>53.5</v>
      </c>
      <c r="O29" s="2"/>
      <c r="P29" s="2"/>
      <c r="R29" s="37">
        <f ca="1">P16</f>
        <v>17.653700789223368</v>
      </c>
      <c r="S29" s="6">
        <f t="shared" ca="1" si="0"/>
        <v>17.653700789223368</v>
      </c>
      <c r="T29">
        <f ca="1">O16</f>
        <v>53.5</v>
      </c>
    </row>
    <row r="30" spans="1:20" x14ac:dyDescent="0.25">
      <c r="A30" s="2"/>
      <c r="B30" s="2"/>
      <c r="D30" s="37">
        <f>B17</f>
        <v>26</v>
      </c>
      <c r="E30" s="37">
        <f t="shared" si="1"/>
        <v>26</v>
      </c>
      <c r="F30">
        <f>A16</f>
        <v>53.5</v>
      </c>
      <c r="O30" s="2"/>
      <c r="P30" s="2"/>
      <c r="R30" s="37">
        <f ca="1">P17</f>
        <v>39.764012097332724</v>
      </c>
      <c r="S30" s="6">
        <f t="shared" ca="1" si="0"/>
        <v>39.764012097332724</v>
      </c>
      <c r="T30">
        <f ca="1">O16</f>
        <v>53.5</v>
      </c>
    </row>
    <row r="31" spans="1:20" x14ac:dyDescent="0.25">
      <c r="A31" s="2"/>
      <c r="D31" s="37">
        <f>B17</f>
        <v>26</v>
      </c>
      <c r="E31" s="37">
        <f t="shared" si="1"/>
        <v>26</v>
      </c>
      <c r="F31">
        <f>A17</f>
        <v>58.5</v>
      </c>
      <c r="O31" s="2"/>
      <c r="R31" s="37">
        <f ca="1">P17</f>
        <v>39.764012097332724</v>
      </c>
      <c r="S31" s="6">
        <f t="shared" ca="1" si="0"/>
        <v>39.764012097332724</v>
      </c>
      <c r="T31">
        <f ca="1">O17</f>
        <v>58.5</v>
      </c>
    </row>
    <row r="32" spans="1:20" x14ac:dyDescent="0.25">
      <c r="A32" s="2"/>
      <c r="D32" s="37">
        <f>B18</f>
        <v>16</v>
      </c>
      <c r="E32" s="37">
        <f t="shared" si="1"/>
        <v>16</v>
      </c>
      <c r="F32">
        <f>A17</f>
        <v>58.5</v>
      </c>
      <c r="O32" s="2"/>
      <c r="R32" s="37">
        <f ca="1">P18</f>
        <v>17.592144707887432</v>
      </c>
      <c r="S32" s="6">
        <f t="shared" ca="1" si="0"/>
        <v>17.592144707887432</v>
      </c>
      <c r="T32">
        <f ca="1">O17</f>
        <v>58.5</v>
      </c>
    </row>
    <row r="33" spans="1:20" x14ac:dyDescent="0.25">
      <c r="A33" s="2"/>
      <c r="D33" s="37">
        <f>B18</f>
        <v>16</v>
      </c>
      <c r="E33" s="37">
        <f t="shared" si="1"/>
        <v>16</v>
      </c>
      <c r="F33">
        <f>A18</f>
        <v>78.5</v>
      </c>
      <c r="O33" s="2"/>
      <c r="R33" s="37">
        <f ca="1">P18</f>
        <v>17.592144707887432</v>
      </c>
      <c r="S33" s="6">
        <f t="shared" ca="1" si="0"/>
        <v>17.592144707887432</v>
      </c>
      <c r="T33">
        <f ca="1">O18</f>
        <v>78.5</v>
      </c>
    </row>
    <row r="34" spans="1:20" x14ac:dyDescent="0.25">
      <c r="A34" s="2"/>
      <c r="D34" s="37">
        <f>B19</f>
        <v>26</v>
      </c>
      <c r="E34" s="37">
        <f t="shared" si="1"/>
        <v>26</v>
      </c>
      <c r="F34">
        <f>A18</f>
        <v>78.5</v>
      </c>
      <c r="O34" s="2"/>
      <c r="R34" s="37">
        <f ca="1">P19</f>
        <v>33.516660445696971</v>
      </c>
      <c r="S34" s="6">
        <f t="shared" ca="1" si="0"/>
        <v>33.516660445696971</v>
      </c>
      <c r="T34">
        <f ca="1">O18</f>
        <v>78.5</v>
      </c>
    </row>
    <row r="35" spans="1:20" x14ac:dyDescent="0.25">
      <c r="A35" s="2"/>
      <c r="D35" s="37">
        <f>B19</f>
        <v>26</v>
      </c>
      <c r="E35" s="37">
        <f t="shared" si="1"/>
        <v>26</v>
      </c>
      <c r="F35">
        <f>A19</f>
        <v>98.5</v>
      </c>
      <c r="O35" s="2"/>
      <c r="R35" s="37">
        <f ca="1">P19</f>
        <v>33.516660445696971</v>
      </c>
      <c r="S35" s="6">
        <f t="shared" ca="1" si="0"/>
        <v>33.516660445696971</v>
      </c>
      <c r="T35">
        <f ca="1">O19</f>
        <v>98.5</v>
      </c>
    </row>
    <row r="36" spans="1:20" x14ac:dyDescent="0.25">
      <c r="A36" s="2"/>
      <c r="D36" s="37">
        <f>B20</f>
        <v>0</v>
      </c>
      <c r="E36" s="37">
        <f t="shared" si="1"/>
        <v>0</v>
      </c>
      <c r="F36">
        <f>A19</f>
        <v>98.5</v>
      </c>
      <c r="O36" s="2"/>
      <c r="R36" s="37">
        <f>P20</f>
        <v>0</v>
      </c>
      <c r="S36" s="6">
        <f t="shared" si="0"/>
        <v>0</v>
      </c>
      <c r="T36">
        <f ca="1">O19</f>
        <v>98.5</v>
      </c>
    </row>
    <row r="37" spans="1:20" x14ac:dyDescent="0.25">
      <c r="A37" s="2"/>
      <c r="D37" s="37"/>
      <c r="E37" s="37"/>
      <c r="O37" s="2"/>
      <c r="R37" s="37">
        <f>P20</f>
        <v>0</v>
      </c>
      <c r="S37" s="6">
        <f t="shared" si="0"/>
        <v>0</v>
      </c>
      <c r="T37" t="str">
        <f>O20</f>
        <v xml:space="preserve"> </v>
      </c>
    </row>
    <row r="38" spans="1:20" x14ac:dyDescent="0.25">
      <c r="A38" s="2"/>
      <c r="D38" s="37"/>
      <c r="E38" s="37"/>
      <c r="O38" s="2"/>
      <c r="R38" s="37">
        <f>P21</f>
        <v>0</v>
      </c>
      <c r="S38" s="6">
        <f t="shared" si="0"/>
        <v>0</v>
      </c>
      <c r="T38" t="str">
        <f>O20</f>
        <v xml:space="preserve"> </v>
      </c>
    </row>
    <row r="39" spans="1:20" x14ac:dyDescent="0.25">
      <c r="A39" s="2"/>
      <c r="D39" s="37"/>
      <c r="E39" s="37"/>
      <c r="O39" s="2"/>
      <c r="R39" s="37">
        <f>P21</f>
        <v>0</v>
      </c>
      <c r="S39" s="6">
        <f t="shared" si="0"/>
        <v>0</v>
      </c>
      <c r="T39" t="str">
        <f>O21</f>
        <v xml:space="preserve"> </v>
      </c>
    </row>
    <row r="40" spans="1:20" x14ac:dyDescent="0.25">
      <c r="A40" s="2"/>
      <c r="D40" s="37"/>
      <c r="E40" s="37"/>
      <c r="O40" s="2"/>
      <c r="R40" s="37">
        <f>P22</f>
        <v>0</v>
      </c>
      <c r="S40" s="6">
        <f t="shared" si="0"/>
        <v>0</v>
      </c>
      <c r="T40" t="str">
        <f>O21</f>
        <v xml:space="preserve"> </v>
      </c>
    </row>
    <row r="41" spans="1:20" x14ac:dyDescent="0.25">
      <c r="A41" s="2"/>
      <c r="D41" s="37"/>
      <c r="E41" s="37"/>
      <c r="O41" s="2"/>
      <c r="R41" s="37">
        <f>P22</f>
        <v>0</v>
      </c>
      <c r="S41" s="6">
        <f t="shared" si="0"/>
        <v>0</v>
      </c>
      <c r="T41" t="str">
        <f>O22</f>
        <v xml:space="preserve"> </v>
      </c>
    </row>
    <row r="42" spans="1:20" x14ac:dyDescent="0.25">
      <c r="A42" s="2"/>
      <c r="D42" s="37"/>
      <c r="E42" s="37"/>
      <c r="O42" s="2"/>
      <c r="R42" s="37">
        <f>P23</f>
        <v>0</v>
      </c>
      <c r="S42" s="6">
        <f t="shared" si="0"/>
        <v>0</v>
      </c>
      <c r="T42" t="str">
        <f>O22</f>
        <v xml:space="preserve"> </v>
      </c>
    </row>
    <row r="43" spans="1:20" x14ac:dyDescent="0.25">
      <c r="A43" s="2"/>
      <c r="D43" s="37"/>
      <c r="E43" s="37"/>
      <c r="O43" s="2"/>
      <c r="R43" s="37">
        <f>P23</f>
        <v>0</v>
      </c>
      <c r="S43" s="6">
        <f t="shared" si="0"/>
        <v>0</v>
      </c>
    </row>
    <row r="44" spans="1:20" x14ac:dyDescent="0.25">
      <c r="E44" s="37" t="str">
        <f t="shared" ref="E44" si="2">IF(D44="n.a.","",(IF(D44=0,"",D44)))</f>
        <v/>
      </c>
    </row>
  </sheetData>
  <mergeCells count="1">
    <mergeCell ref="O1:P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workbookViewId="0">
      <selection activeCell="P34" sqref="P34"/>
    </sheetView>
  </sheetViews>
  <sheetFormatPr defaultRowHeight="13.2" x14ac:dyDescent="0.25"/>
  <sheetData>
    <row r="1" spans="1:23" ht="14.4" x14ac:dyDescent="0.3">
      <c r="A1" s="98" t="s">
        <v>22</v>
      </c>
      <c r="B1" s="99"/>
      <c r="C1" s="99"/>
      <c r="D1" s="99"/>
      <c r="E1" s="99"/>
      <c r="F1" s="99"/>
      <c r="O1" s="100" t="s">
        <v>22</v>
      </c>
      <c r="P1" s="101"/>
      <c r="Q1" s="101"/>
      <c r="R1" s="101"/>
      <c r="S1" s="101"/>
      <c r="T1" s="101"/>
      <c r="V1" s="98" t="s">
        <v>107</v>
      </c>
      <c r="W1" s="99"/>
    </row>
    <row r="2" spans="1:23" x14ac:dyDescent="0.25">
      <c r="O2" s="73"/>
      <c r="P2" s="73"/>
      <c r="Q2" s="73"/>
      <c r="R2" s="73"/>
      <c r="S2" s="74"/>
    </row>
    <row r="3" spans="1:23" x14ac:dyDescent="0.25">
      <c r="A3" s="35" t="s">
        <v>75</v>
      </c>
      <c r="B3" s="36" t="s">
        <v>22</v>
      </c>
      <c r="D3" s="36" t="s">
        <v>22</v>
      </c>
      <c r="E3" s="36" t="s">
        <v>22</v>
      </c>
      <c r="F3" s="35" t="s">
        <v>75</v>
      </c>
      <c r="O3" s="35" t="s">
        <v>75</v>
      </c>
      <c r="P3" s="36" t="s">
        <v>22</v>
      </c>
      <c r="R3" s="36" t="s">
        <v>22</v>
      </c>
      <c r="S3" s="36" t="s">
        <v>22</v>
      </c>
      <c r="T3" s="35" t="s">
        <v>75</v>
      </c>
      <c r="V3">
        <v>0</v>
      </c>
      <c r="W3">
        <f>'B-1'!K8</f>
        <v>18</v>
      </c>
    </row>
    <row r="4" spans="1:23" x14ac:dyDescent="0.25">
      <c r="A4" s="11">
        <f>IF('B-1'!A16=0," ",'B-1'!A16)</f>
        <v>1</v>
      </c>
      <c r="B4" s="2">
        <f>'B-1'!L16</f>
        <v>0.39166407613371002</v>
      </c>
      <c r="D4" s="37">
        <f>B4</f>
        <v>0.39166407613371002</v>
      </c>
      <c r="E4" s="37">
        <f>IF(D4="n.a.",0,(IF(D4=0,0,D4)))</f>
        <v>0.39166407613371002</v>
      </c>
      <c r="F4">
        <v>0</v>
      </c>
      <c r="O4" s="11">
        <f ca="1">IF('B-1'!N16=0," ",'B-1'!A16)</f>
        <v>1</v>
      </c>
      <c r="P4" s="8" t="str">
        <f>'B-1'!Y16</f>
        <v>n.a.</v>
      </c>
      <c r="R4" s="37" t="str">
        <f>P4</f>
        <v>n.a.</v>
      </c>
      <c r="S4" s="6">
        <f>IF(R4="n.a.",0,(IF(R4=0,0,R4)))</f>
        <v>0</v>
      </c>
      <c r="T4">
        <v>0</v>
      </c>
      <c r="V4">
        <v>2</v>
      </c>
      <c r="W4">
        <f>'B-1'!K8</f>
        <v>18</v>
      </c>
    </row>
    <row r="5" spans="1:23" x14ac:dyDescent="0.25">
      <c r="A5" s="11">
        <f>IF('B-1'!A17=0," ",'B-1'!A17)</f>
        <v>3.5</v>
      </c>
      <c r="B5" s="2">
        <f>'B-1'!L17</f>
        <v>0.3897852029262468</v>
      </c>
      <c r="D5" s="37">
        <f>B4</f>
        <v>0.39166407613371002</v>
      </c>
      <c r="E5" s="37">
        <f t="shared" ref="E5:E36" si="0">IF(D5="n.a.",0,(IF(D5=0,0,D5)))</f>
        <v>0.39166407613371002</v>
      </c>
      <c r="F5">
        <f>A4</f>
        <v>1</v>
      </c>
      <c r="O5" s="11">
        <f ca="1">IF('B-1'!N17=0," ",'B-1'!A17)</f>
        <v>3.5</v>
      </c>
      <c r="P5" s="8">
        <f ca="1">'B-1'!Y17</f>
        <v>0.26829569792410468</v>
      </c>
      <c r="R5" s="37" t="str">
        <f>P4</f>
        <v>n.a.</v>
      </c>
      <c r="S5" s="6">
        <f>IF(R5="n.a.",0,(IF(R5=0,0,R5)))</f>
        <v>0</v>
      </c>
      <c r="T5">
        <f ca="1">O4</f>
        <v>1</v>
      </c>
    </row>
    <row r="6" spans="1:23" x14ac:dyDescent="0.25">
      <c r="A6" s="11">
        <f>IF('B-1'!A18=0," ",'B-1'!A18)</f>
        <v>6</v>
      </c>
      <c r="B6" s="2">
        <f>'B-1'!L18</f>
        <v>0.3877006033004784</v>
      </c>
      <c r="D6" s="37">
        <f>B5</f>
        <v>0.3897852029262468</v>
      </c>
      <c r="E6" s="37">
        <f t="shared" si="0"/>
        <v>0.3897852029262468</v>
      </c>
      <c r="F6">
        <f>A4</f>
        <v>1</v>
      </c>
      <c r="O6" s="11">
        <f ca="1">IF('B-1'!N18=0," ",'B-1'!A18)</f>
        <v>6</v>
      </c>
      <c r="P6" s="8">
        <f ca="1">'B-1'!Y18</f>
        <v>0.22558532278471669</v>
      </c>
      <c r="R6" s="37">
        <f ca="1">P5</f>
        <v>0.26829569792410468</v>
      </c>
      <c r="S6" s="6">
        <f t="shared" ref="S6:S43" ca="1" si="1">IF(R6="n.a.",0,(IF(R6=0,0,R6)))</f>
        <v>0.26829569792410468</v>
      </c>
      <c r="T6">
        <f ca="1">O4</f>
        <v>1</v>
      </c>
    </row>
    <row r="7" spans="1:23" x14ac:dyDescent="0.25">
      <c r="A7" s="11">
        <f>IF('B-1'!A19=0," ",'B-1'!A19)</f>
        <v>8.5</v>
      </c>
      <c r="B7" s="2">
        <f>'B-1'!L19</f>
        <v>0.38541810060196152</v>
      </c>
      <c r="D7" s="37">
        <f>B5</f>
        <v>0.3897852029262468</v>
      </c>
      <c r="E7" s="37">
        <f t="shared" si="0"/>
        <v>0.3897852029262468</v>
      </c>
      <c r="F7">
        <f>A5</f>
        <v>3.5</v>
      </c>
      <c r="O7" s="11">
        <f ca="1">IF('B-1'!N19=0," ",'B-1'!A19)</f>
        <v>8.5</v>
      </c>
      <c r="P7" s="8">
        <f ca="1">'B-1'!Y19</f>
        <v>0.13669267094752827</v>
      </c>
      <c r="R7" s="37">
        <f ca="1">P5</f>
        <v>0.26829569792410468</v>
      </c>
      <c r="S7" s="6">
        <f t="shared" ca="1" si="1"/>
        <v>0.26829569792410468</v>
      </c>
      <c r="T7">
        <f ca="1">O5</f>
        <v>3.5</v>
      </c>
    </row>
    <row r="8" spans="1:23" x14ac:dyDescent="0.25">
      <c r="A8" s="11">
        <f>IF('B-1'!A20=0," ",'B-1'!A20)</f>
        <v>13.5</v>
      </c>
      <c r="B8" s="2">
        <f>'B-1'!L20</f>
        <v>0.38029376469287318</v>
      </c>
      <c r="D8" s="37">
        <f>B6</f>
        <v>0.3877006033004784</v>
      </c>
      <c r="E8" s="37">
        <f t="shared" si="0"/>
        <v>0.3877006033004784</v>
      </c>
      <c r="F8">
        <f>A5</f>
        <v>3.5</v>
      </c>
      <c r="O8" s="11">
        <f ca="1">IF('B-1'!N20=0," ",'B-1'!A20)</f>
        <v>13.5</v>
      </c>
      <c r="P8" s="8">
        <f ca="1">'B-1'!Y20</f>
        <v>1.3273681472548258</v>
      </c>
      <c r="R8" s="37">
        <f ca="1">P6</f>
        <v>0.22558532278471669</v>
      </c>
      <c r="S8" s="6">
        <f t="shared" ca="1" si="1"/>
        <v>0.22558532278471669</v>
      </c>
      <c r="T8">
        <f ca="1">O5</f>
        <v>3.5</v>
      </c>
    </row>
    <row r="9" spans="1:23" x14ac:dyDescent="0.25">
      <c r="A9" s="11">
        <f>IF('B-1'!A21=0," ",'B-1'!A21)</f>
        <v>18.5</v>
      </c>
      <c r="B9" s="2">
        <f>'B-1'!L21</f>
        <v>0.37982455210499938</v>
      </c>
      <c r="D9" s="37">
        <f>B6</f>
        <v>0.3877006033004784</v>
      </c>
      <c r="E9" s="37">
        <f t="shared" si="0"/>
        <v>0.3877006033004784</v>
      </c>
      <c r="F9">
        <f>A6</f>
        <v>6</v>
      </c>
      <c r="O9" s="11">
        <f ca="1">IF('B-1'!N21=0," ",'B-1'!A21)</f>
        <v>18.5</v>
      </c>
      <c r="P9" s="8">
        <f ca="1">'B-1'!Y21</f>
        <v>0.17790952576449626</v>
      </c>
      <c r="R9" s="37">
        <f ca="1">P6</f>
        <v>0.22558532278471669</v>
      </c>
      <c r="S9" s="6">
        <f t="shared" ca="1" si="1"/>
        <v>0.22558532278471669</v>
      </c>
      <c r="T9">
        <f ca="1">O6</f>
        <v>6</v>
      </c>
    </row>
    <row r="10" spans="1:23" x14ac:dyDescent="0.25">
      <c r="A10" s="11">
        <f>IF('B-1'!A22=0," ",'B-1'!A22)</f>
        <v>23.5</v>
      </c>
      <c r="B10" s="2">
        <f>'B-1'!L22</f>
        <v>0.41908136020707737</v>
      </c>
      <c r="D10" s="37">
        <f>B7</f>
        <v>0.38541810060196152</v>
      </c>
      <c r="E10" s="37">
        <f t="shared" si="0"/>
        <v>0.38541810060196152</v>
      </c>
      <c r="F10">
        <f>A6</f>
        <v>6</v>
      </c>
      <c r="O10" s="11">
        <f ca="1">IF('B-1'!N22=0," ",'B-1'!A22)</f>
        <v>23.5</v>
      </c>
      <c r="P10" s="8">
        <f ca="1">'B-1'!Y22</f>
        <v>0.25959726420627999</v>
      </c>
      <c r="R10" s="37">
        <f ca="1">P7</f>
        <v>0.13669267094752827</v>
      </c>
      <c r="S10" s="6">
        <f t="shared" ca="1" si="1"/>
        <v>0.13669267094752827</v>
      </c>
      <c r="T10">
        <f ca="1">O6</f>
        <v>6</v>
      </c>
    </row>
    <row r="11" spans="1:23" x14ac:dyDescent="0.25">
      <c r="A11" s="11">
        <f>IF('B-1'!A23=0," ",'B-1'!A23)</f>
        <v>28.5</v>
      </c>
      <c r="B11" s="2">
        <f>'B-1'!L23</f>
        <v>0.44674404204656276</v>
      </c>
      <c r="D11" s="37">
        <f>B7</f>
        <v>0.38541810060196152</v>
      </c>
      <c r="E11" s="37">
        <f t="shared" si="0"/>
        <v>0.38541810060196152</v>
      </c>
      <c r="F11">
        <f>A7</f>
        <v>8.5</v>
      </c>
      <c r="O11" s="11">
        <f ca="1">IF('B-1'!N23=0," ",'B-1'!A23)</f>
        <v>28.5</v>
      </c>
      <c r="P11" s="8">
        <f ca="1">'B-1'!Y23</f>
        <v>0.23310292465124136</v>
      </c>
      <c r="R11" s="37">
        <f ca="1">P7</f>
        <v>0.13669267094752827</v>
      </c>
      <c r="S11" s="6">
        <f t="shared" ca="1" si="1"/>
        <v>0.13669267094752827</v>
      </c>
      <c r="T11">
        <f ca="1">O7</f>
        <v>8.5</v>
      </c>
    </row>
    <row r="12" spans="1:23" x14ac:dyDescent="0.25">
      <c r="A12" s="11">
        <f>IF('B-1'!A24=0," ",'B-1'!A24)</f>
        <v>33.5</v>
      </c>
      <c r="B12" s="2">
        <f>'B-1'!L24</f>
        <v>0.46591357881045409</v>
      </c>
      <c r="D12" s="37">
        <f>B8</f>
        <v>0.38029376469287318</v>
      </c>
      <c r="E12" s="37">
        <f t="shared" si="0"/>
        <v>0.38029376469287318</v>
      </c>
      <c r="F12">
        <f>A7</f>
        <v>8.5</v>
      </c>
      <c r="O12" s="11">
        <f ca="1">IF('B-1'!N24=0," ",'B-1'!A24)</f>
        <v>33.5</v>
      </c>
      <c r="P12" s="8">
        <f ca="1">'B-1'!Y24</f>
        <v>1.6382371161579401</v>
      </c>
      <c r="R12" s="37">
        <f ca="1">P8</f>
        <v>1.3273681472548258</v>
      </c>
      <c r="S12" s="6">
        <f t="shared" ca="1" si="1"/>
        <v>1.3273681472548258</v>
      </c>
      <c r="T12">
        <f ca="1">O7</f>
        <v>8.5</v>
      </c>
    </row>
    <row r="13" spans="1:23" x14ac:dyDescent="0.25">
      <c r="A13" s="11">
        <f>IF('B-1'!A25=0," ",'B-1'!A25)</f>
        <v>38.5</v>
      </c>
      <c r="B13" s="2">
        <f>'B-1'!L25</f>
        <v>0.47869206950017457</v>
      </c>
      <c r="D13" s="37">
        <f>B8</f>
        <v>0.38029376469287318</v>
      </c>
      <c r="E13" s="37">
        <f t="shared" si="0"/>
        <v>0.38029376469287318</v>
      </c>
      <c r="F13">
        <f>A8</f>
        <v>13.5</v>
      </c>
      <c r="O13" s="11">
        <f ca="1">IF('B-1'!N25=0," ",'B-1'!A25)</f>
        <v>38.5</v>
      </c>
      <c r="P13" s="8">
        <f ca="1">'B-1'!Y25</f>
        <v>0.28791722243428436</v>
      </c>
      <c r="R13" s="37">
        <f ca="1">P8</f>
        <v>1.3273681472548258</v>
      </c>
      <c r="S13" s="6">
        <f t="shared" ca="1" si="1"/>
        <v>1.3273681472548258</v>
      </c>
      <c r="T13">
        <f ca="1">O8</f>
        <v>13.5</v>
      </c>
    </row>
    <row r="14" spans="1:23" x14ac:dyDescent="0.25">
      <c r="A14" s="11">
        <f>IF('B-1'!A26=0," ",'B-1'!A26)</f>
        <v>43.5</v>
      </c>
      <c r="B14" s="2">
        <f>'B-1'!L26</f>
        <v>0.48657912491786515</v>
      </c>
      <c r="D14" s="37">
        <f>B9</f>
        <v>0.37982455210499938</v>
      </c>
      <c r="E14" s="37">
        <f t="shared" si="0"/>
        <v>0.37982455210499938</v>
      </c>
      <c r="F14">
        <f>A8</f>
        <v>13.5</v>
      </c>
      <c r="O14" s="11">
        <f ca="1">IF('B-1'!N26=0," ",'B-1'!A26)</f>
        <v>43.5</v>
      </c>
      <c r="P14" s="8">
        <f ca="1">'B-1'!Y26</f>
        <v>0.22252479900895739</v>
      </c>
      <c r="R14" s="37">
        <f ca="1">P9</f>
        <v>0.17790952576449626</v>
      </c>
      <c r="S14" s="6">
        <f t="shared" ca="1" si="1"/>
        <v>0.17790952576449626</v>
      </c>
      <c r="T14">
        <f ca="1">O8</f>
        <v>13.5</v>
      </c>
    </row>
    <row r="15" spans="1:23" x14ac:dyDescent="0.25">
      <c r="A15" s="11">
        <f>IF('B-1'!A27=0," ",'B-1'!A27)</f>
        <v>48.5</v>
      </c>
      <c r="B15" s="2">
        <f>'B-1'!L27</f>
        <v>0.49069204507748143</v>
      </c>
      <c r="D15" s="37">
        <f>B9</f>
        <v>0.37982455210499938</v>
      </c>
      <c r="E15" s="37">
        <f t="shared" si="0"/>
        <v>0.37982455210499938</v>
      </c>
      <c r="F15">
        <f>A9</f>
        <v>18.5</v>
      </c>
      <c r="O15" s="11">
        <f ca="1">IF('B-1'!N27=0," ",'B-1'!A27)</f>
        <v>48.5</v>
      </c>
      <c r="P15" s="8">
        <f ca="1">'B-1'!Y27</f>
        <v>0.33928779075206889</v>
      </c>
      <c r="R15" s="37">
        <f ca="1">P9</f>
        <v>0.17790952576449626</v>
      </c>
      <c r="S15" s="6">
        <f t="shared" ca="1" si="1"/>
        <v>0.17790952576449626</v>
      </c>
      <c r="T15">
        <f ca="1">O9</f>
        <v>18.5</v>
      </c>
    </row>
    <row r="16" spans="1:23" x14ac:dyDescent="0.25">
      <c r="A16" s="11">
        <f>IF('B-1'!A28=0," ",'B-1'!A28)</f>
        <v>53.5</v>
      </c>
      <c r="B16" s="2">
        <f>'B-1'!L28</f>
        <v>0.49189442068295242</v>
      </c>
      <c r="D16" s="37">
        <f>B10</f>
        <v>0.41908136020707737</v>
      </c>
      <c r="E16" s="37">
        <f t="shared" si="0"/>
        <v>0.41908136020707737</v>
      </c>
      <c r="F16">
        <f>A9</f>
        <v>18.5</v>
      </c>
      <c r="O16" s="11">
        <f ca="1">IF('B-1'!N28=0," ",'B-1'!A28)</f>
        <v>53.5</v>
      </c>
      <c r="P16" s="8">
        <f ca="1">'B-1'!Y28</f>
        <v>0.16051378844981948</v>
      </c>
      <c r="R16" s="37">
        <f ca="1">P10</f>
        <v>0.25959726420627999</v>
      </c>
      <c r="S16" s="6">
        <f t="shared" ca="1" si="1"/>
        <v>0.25959726420627999</v>
      </c>
      <c r="T16">
        <f ca="1">O9</f>
        <v>18.5</v>
      </c>
    </row>
    <row r="17" spans="1:20" x14ac:dyDescent="0.25">
      <c r="A17" s="11">
        <f>IF('B-1'!A29=0," ",'B-1'!A29)</f>
        <v>58.5</v>
      </c>
      <c r="B17" s="2">
        <f>'B-1'!L29</f>
        <v>0.49087442727457276</v>
      </c>
      <c r="D17" s="37">
        <f>B10</f>
        <v>0.41908136020707737</v>
      </c>
      <c r="E17" s="37">
        <f t="shared" si="0"/>
        <v>0.41908136020707737</v>
      </c>
      <c r="F17">
        <f>A10</f>
        <v>23.5</v>
      </c>
      <c r="O17" s="11">
        <f ca="1">IF('B-1'!N29=0," ",'B-1'!A29)</f>
        <v>58.5</v>
      </c>
      <c r="P17" s="8">
        <f ca="1">'B-1'!Y29</f>
        <v>1.4278794686500056</v>
      </c>
      <c r="R17" s="37">
        <f ca="1">P10</f>
        <v>0.25959726420627999</v>
      </c>
      <c r="S17" s="6">
        <f t="shared" ca="1" si="1"/>
        <v>0.25959726420627999</v>
      </c>
      <c r="T17">
        <f ca="1">O10</f>
        <v>23.5</v>
      </c>
    </row>
    <row r="18" spans="1:20" x14ac:dyDescent="0.25">
      <c r="A18" s="11">
        <f>IF('B-1'!A30=0," ",'B-1'!A30)</f>
        <v>78.5</v>
      </c>
      <c r="B18" s="2">
        <f>'B-1'!L30</f>
        <v>0.47452910155600136</v>
      </c>
      <c r="D18" s="37">
        <f>B11</f>
        <v>0.44674404204656276</v>
      </c>
      <c r="E18" s="37">
        <f t="shared" si="0"/>
        <v>0.44674404204656276</v>
      </c>
      <c r="F18">
        <f>A10</f>
        <v>23.5</v>
      </c>
      <c r="O18" s="11">
        <f ca="1">IF('B-1'!N30=0," ",'B-1'!A30)</f>
        <v>78.5</v>
      </c>
      <c r="P18" s="8">
        <f ca="1">'B-1'!Y30</f>
        <v>0.15374894587338828</v>
      </c>
      <c r="R18" s="37">
        <f ca="1">P11</f>
        <v>0.23310292465124136</v>
      </c>
      <c r="S18" s="6">
        <f t="shared" ca="1" si="1"/>
        <v>0.23310292465124136</v>
      </c>
      <c r="T18">
        <f ca="1">O10</f>
        <v>23.5</v>
      </c>
    </row>
    <row r="19" spans="1:20" x14ac:dyDescent="0.25">
      <c r="A19" s="11">
        <f>IF('B-1'!A31=0," ",'B-1'!A31)</f>
        <v>98.5</v>
      </c>
      <c r="B19" s="2">
        <f>'B-1'!L31</f>
        <v>0.45476732277035992</v>
      </c>
      <c r="D19" s="37">
        <f>B11</f>
        <v>0.44674404204656276</v>
      </c>
      <c r="E19" s="37">
        <f t="shared" si="0"/>
        <v>0.44674404204656276</v>
      </c>
      <c r="F19">
        <f>A11</f>
        <v>28.5</v>
      </c>
      <c r="O19" s="11">
        <f ca="1">IF('B-1'!N31=0," ",'B-1'!A31)</f>
        <v>98.5</v>
      </c>
      <c r="P19" s="8">
        <f ca="1">'B-1'!Y31</f>
        <v>0.54809119458654787</v>
      </c>
      <c r="R19" s="37">
        <f ca="1">P11</f>
        <v>0.23310292465124136</v>
      </c>
      <c r="S19" s="6">
        <f t="shared" ca="1" si="1"/>
        <v>0.23310292465124136</v>
      </c>
      <c r="T19">
        <f ca="1">O11</f>
        <v>28.5</v>
      </c>
    </row>
    <row r="20" spans="1:20" x14ac:dyDescent="0.25">
      <c r="A20" s="11" t="str">
        <f>IF('B-1'!A32=0," ",'B-1'!A32)</f>
        <v xml:space="preserve"> </v>
      </c>
      <c r="B20" s="2"/>
      <c r="D20" s="37">
        <f>B12</f>
        <v>0.46591357881045409</v>
      </c>
      <c r="E20" s="37">
        <f t="shared" si="0"/>
        <v>0.46591357881045409</v>
      </c>
      <c r="F20">
        <f>A11</f>
        <v>28.5</v>
      </c>
      <c r="O20" s="11" t="str">
        <f>IF('B-1'!N32=0," ",'B-1'!A32)</f>
        <v xml:space="preserve"> </v>
      </c>
      <c r="P20" s="8">
        <f>'B-1'!Y32</f>
        <v>0</v>
      </c>
      <c r="R20" s="37">
        <f ca="1">P12</f>
        <v>1.6382371161579401</v>
      </c>
      <c r="S20" s="6">
        <f t="shared" ca="1" si="1"/>
        <v>1.6382371161579401</v>
      </c>
      <c r="T20">
        <f ca="1">O11</f>
        <v>28.5</v>
      </c>
    </row>
    <row r="21" spans="1:20" x14ac:dyDescent="0.25">
      <c r="A21" s="11" t="str">
        <f>IF('B-1'!A33=0," ",'B-1'!A33)</f>
        <v xml:space="preserve"> </v>
      </c>
      <c r="B21" s="2"/>
      <c r="D21" s="37">
        <f>B12</f>
        <v>0.46591357881045409</v>
      </c>
      <c r="E21" s="37">
        <f t="shared" si="0"/>
        <v>0.46591357881045409</v>
      </c>
      <c r="F21">
        <f>A12</f>
        <v>33.5</v>
      </c>
      <c r="O21" s="11" t="str">
        <f>IF('B-1'!N33=0," ",'B-1'!A33)</f>
        <v xml:space="preserve"> </v>
      </c>
      <c r="P21" s="8">
        <f>'B-1'!Y33</f>
        <v>0</v>
      </c>
      <c r="R21" s="37">
        <f ca="1">P12</f>
        <v>1.6382371161579401</v>
      </c>
      <c r="S21" s="6">
        <f t="shared" ca="1" si="1"/>
        <v>1.6382371161579401</v>
      </c>
      <c r="T21">
        <f ca="1">O12</f>
        <v>33.5</v>
      </c>
    </row>
    <row r="22" spans="1:20" x14ac:dyDescent="0.25">
      <c r="A22" s="11" t="str">
        <f>IF('B-1'!A34=0," ",'B-1'!A34)</f>
        <v xml:space="preserve"> </v>
      </c>
      <c r="B22" s="2"/>
      <c r="D22" s="37">
        <f>B13</f>
        <v>0.47869206950017457</v>
      </c>
      <c r="E22" s="37">
        <f t="shared" si="0"/>
        <v>0.47869206950017457</v>
      </c>
      <c r="F22">
        <f>A12</f>
        <v>33.5</v>
      </c>
      <c r="O22" s="11" t="str">
        <f>IF('B-1'!N34=0," ",'B-1'!A34)</f>
        <v xml:space="preserve"> </v>
      </c>
      <c r="P22" s="8">
        <f>'B-1'!Y34</f>
        <v>0</v>
      </c>
      <c r="R22" s="37">
        <f ca="1">P13</f>
        <v>0.28791722243428436</v>
      </c>
      <c r="S22" s="6">
        <f t="shared" ca="1" si="1"/>
        <v>0.28791722243428436</v>
      </c>
      <c r="T22">
        <f ca="1">O12</f>
        <v>33.5</v>
      </c>
    </row>
    <row r="23" spans="1:20" x14ac:dyDescent="0.25">
      <c r="A23" s="11"/>
      <c r="B23" s="2"/>
      <c r="D23" s="37">
        <f>B13</f>
        <v>0.47869206950017457</v>
      </c>
      <c r="E23" s="37">
        <f t="shared" si="0"/>
        <v>0.47869206950017457</v>
      </c>
      <c r="F23">
        <f>A13</f>
        <v>38.5</v>
      </c>
      <c r="O23" s="11" t="str">
        <f>IF('B-1'!N35=0," ",'B-1'!A35)</f>
        <v xml:space="preserve"> </v>
      </c>
      <c r="P23" s="2"/>
      <c r="R23" s="37">
        <f ca="1">P13</f>
        <v>0.28791722243428436</v>
      </c>
      <c r="S23" s="6">
        <f t="shared" ca="1" si="1"/>
        <v>0.28791722243428436</v>
      </c>
      <c r="T23">
        <f ca="1">O13</f>
        <v>38.5</v>
      </c>
    </row>
    <row r="24" spans="1:20" x14ac:dyDescent="0.25">
      <c r="A24" s="11"/>
      <c r="B24" s="2"/>
      <c r="D24" s="37">
        <f>B14</f>
        <v>0.48657912491786515</v>
      </c>
      <c r="E24" s="37">
        <f t="shared" si="0"/>
        <v>0.48657912491786515</v>
      </c>
      <c r="F24">
        <f>A13</f>
        <v>38.5</v>
      </c>
      <c r="O24" s="11" t="str">
        <f>IF('B-1'!N36=0," ",'B-1'!A36)</f>
        <v xml:space="preserve"> </v>
      </c>
      <c r="P24" s="2"/>
      <c r="R24" s="37">
        <f ca="1">P14</f>
        <v>0.22252479900895739</v>
      </c>
      <c r="S24" s="6">
        <f t="shared" ca="1" si="1"/>
        <v>0.22252479900895739</v>
      </c>
      <c r="T24">
        <f ca="1">O13</f>
        <v>38.5</v>
      </c>
    </row>
    <row r="25" spans="1:20" x14ac:dyDescent="0.25">
      <c r="A25" s="2"/>
      <c r="B25" s="2"/>
      <c r="D25" s="37">
        <f>B14</f>
        <v>0.48657912491786515</v>
      </c>
      <c r="E25" s="37">
        <f t="shared" si="0"/>
        <v>0.48657912491786515</v>
      </c>
      <c r="F25">
        <f>A14</f>
        <v>43.5</v>
      </c>
      <c r="O25" s="2"/>
      <c r="P25" s="2"/>
      <c r="R25" s="37">
        <f ca="1">P14</f>
        <v>0.22252479900895739</v>
      </c>
      <c r="S25" s="6">
        <f t="shared" ca="1" si="1"/>
        <v>0.22252479900895739</v>
      </c>
      <c r="T25">
        <f ca="1">O14</f>
        <v>43.5</v>
      </c>
    </row>
    <row r="26" spans="1:20" x14ac:dyDescent="0.25">
      <c r="A26" s="2"/>
      <c r="B26" s="2"/>
      <c r="D26" s="37">
        <f>B15</f>
        <v>0.49069204507748143</v>
      </c>
      <c r="E26" s="37">
        <f t="shared" si="0"/>
        <v>0.49069204507748143</v>
      </c>
      <c r="F26">
        <f>A14</f>
        <v>43.5</v>
      </c>
      <c r="O26" s="2"/>
      <c r="P26" s="2"/>
      <c r="R26" s="37">
        <f ca="1">P15</f>
        <v>0.33928779075206889</v>
      </c>
      <c r="S26" s="6">
        <f t="shared" ca="1" si="1"/>
        <v>0.33928779075206889</v>
      </c>
      <c r="T26">
        <f ca="1">O14</f>
        <v>43.5</v>
      </c>
    </row>
    <row r="27" spans="1:20" x14ac:dyDescent="0.25">
      <c r="A27" s="2"/>
      <c r="B27" s="2"/>
      <c r="D27" s="37">
        <f>B15</f>
        <v>0.49069204507748143</v>
      </c>
      <c r="E27" s="37">
        <f t="shared" si="0"/>
        <v>0.49069204507748143</v>
      </c>
      <c r="F27">
        <f>A15</f>
        <v>48.5</v>
      </c>
      <c r="O27" s="2"/>
      <c r="P27" s="2"/>
      <c r="R27" s="37">
        <f ca="1">P15</f>
        <v>0.33928779075206889</v>
      </c>
      <c r="S27" s="6">
        <f t="shared" ca="1" si="1"/>
        <v>0.33928779075206889</v>
      </c>
      <c r="T27">
        <f ca="1">O15</f>
        <v>48.5</v>
      </c>
    </row>
    <row r="28" spans="1:20" x14ac:dyDescent="0.25">
      <c r="A28" s="2"/>
      <c r="B28" s="2"/>
      <c r="D28" s="37">
        <f>B16</f>
        <v>0.49189442068295242</v>
      </c>
      <c r="E28" s="37">
        <f t="shared" si="0"/>
        <v>0.49189442068295242</v>
      </c>
      <c r="F28">
        <f>A15</f>
        <v>48.5</v>
      </c>
      <c r="O28" s="2"/>
      <c r="P28" s="2"/>
      <c r="R28" s="37">
        <f ca="1">P16</f>
        <v>0.16051378844981948</v>
      </c>
      <c r="S28" s="6">
        <f t="shared" ca="1" si="1"/>
        <v>0.16051378844981948</v>
      </c>
      <c r="T28">
        <f ca="1">O15</f>
        <v>48.5</v>
      </c>
    </row>
    <row r="29" spans="1:20" x14ac:dyDescent="0.25">
      <c r="A29" s="2"/>
      <c r="B29" s="2"/>
      <c r="D29" s="37">
        <f>B16</f>
        <v>0.49189442068295242</v>
      </c>
      <c r="E29" s="37">
        <f t="shared" si="0"/>
        <v>0.49189442068295242</v>
      </c>
      <c r="F29">
        <f>A16</f>
        <v>53.5</v>
      </c>
      <c r="O29" s="2"/>
      <c r="P29" s="2"/>
      <c r="R29" s="37">
        <f ca="1">P16</f>
        <v>0.16051378844981948</v>
      </c>
      <c r="S29" s="6">
        <f t="shared" ca="1" si="1"/>
        <v>0.16051378844981948</v>
      </c>
      <c r="T29">
        <f ca="1">O16</f>
        <v>53.5</v>
      </c>
    </row>
    <row r="30" spans="1:20" x14ac:dyDescent="0.25">
      <c r="A30" s="2"/>
      <c r="B30" s="2"/>
      <c r="D30" s="37">
        <f>B17</f>
        <v>0.49087442727457276</v>
      </c>
      <c r="E30" s="37">
        <f t="shared" si="0"/>
        <v>0.49087442727457276</v>
      </c>
      <c r="F30">
        <f>A16</f>
        <v>53.5</v>
      </c>
      <c r="O30" s="2"/>
      <c r="P30" s="2"/>
      <c r="R30" s="37">
        <f ca="1">P17</f>
        <v>1.4278794686500056</v>
      </c>
      <c r="S30" s="6">
        <f t="shared" ca="1" si="1"/>
        <v>1.4278794686500056</v>
      </c>
      <c r="T30">
        <f ca="1">O16</f>
        <v>53.5</v>
      </c>
    </row>
    <row r="31" spans="1:20" x14ac:dyDescent="0.25">
      <c r="A31" s="2"/>
      <c r="D31" s="37">
        <f>B17</f>
        <v>0.49087442727457276</v>
      </c>
      <c r="E31" s="37">
        <f t="shared" si="0"/>
        <v>0.49087442727457276</v>
      </c>
      <c r="F31">
        <f>A17</f>
        <v>58.5</v>
      </c>
      <c r="O31" s="2"/>
      <c r="R31" s="37">
        <f ca="1">P17</f>
        <v>1.4278794686500056</v>
      </c>
      <c r="S31" s="6">
        <f t="shared" ca="1" si="1"/>
        <v>1.4278794686500056</v>
      </c>
      <c r="T31">
        <f ca="1">O17</f>
        <v>58.5</v>
      </c>
    </row>
    <row r="32" spans="1:20" x14ac:dyDescent="0.25">
      <c r="A32" s="2"/>
      <c r="D32" s="37">
        <f>B18</f>
        <v>0.47452910155600136</v>
      </c>
      <c r="E32" s="37">
        <f t="shared" si="0"/>
        <v>0.47452910155600136</v>
      </c>
      <c r="F32">
        <f>A17</f>
        <v>58.5</v>
      </c>
      <c r="O32" s="2"/>
      <c r="R32" s="37">
        <f ca="1">P18</f>
        <v>0.15374894587338828</v>
      </c>
      <c r="S32" s="6">
        <f t="shared" ca="1" si="1"/>
        <v>0.15374894587338828</v>
      </c>
      <c r="T32">
        <f ca="1">O17</f>
        <v>58.5</v>
      </c>
    </row>
    <row r="33" spans="1:20" x14ac:dyDescent="0.25">
      <c r="A33" s="2"/>
      <c r="D33" s="37">
        <f>B18</f>
        <v>0.47452910155600136</v>
      </c>
      <c r="E33" s="37">
        <f t="shared" si="0"/>
        <v>0.47452910155600136</v>
      </c>
      <c r="F33">
        <f>A18</f>
        <v>78.5</v>
      </c>
      <c r="O33" s="2"/>
      <c r="R33" s="37">
        <f ca="1">P18</f>
        <v>0.15374894587338828</v>
      </c>
      <c r="S33" s="6">
        <f t="shared" ca="1" si="1"/>
        <v>0.15374894587338828</v>
      </c>
      <c r="T33">
        <f ca="1">O18</f>
        <v>78.5</v>
      </c>
    </row>
    <row r="34" spans="1:20" x14ac:dyDescent="0.25">
      <c r="A34" s="2"/>
      <c r="D34" s="37">
        <f>B19</f>
        <v>0.45476732277035992</v>
      </c>
      <c r="E34" s="37">
        <f t="shared" si="0"/>
        <v>0.45476732277035992</v>
      </c>
      <c r="F34">
        <f>A18</f>
        <v>78.5</v>
      </c>
      <c r="O34" s="2"/>
      <c r="R34" s="37">
        <f ca="1">P19</f>
        <v>0.54809119458654787</v>
      </c>
      <c r="S34" s="6">
        <f t="shared" ca="1" si="1"/>
        <v>0.54809119458654787</v>
      </c>
      <c r="T34">
        <f ca="1">O18</f>
        <v>78.5</v>
      </c>
    </row>
    <row r="35" spans="1:20" x14ac:dyDescent="0.25">
      <c r="A35" s="2"/>
      <c r="D35" s="37">
        <f>B19</f>
        <v>0.45476732277035992</v>
      </c>
      <c r="E35" s="37">
        <f t="shared" si="0"/>
        <v>0.45476732277035992</v>
      </c>
      <c r="F35">
        <f>A19</f>
        <v>98.5</v>
      </c>
      <c r="O35" s="2"/>
      <c r="R35" s="37">
        <f ca="1">P19</f>
        <v>0.54809119458654787</v>
      </c>
      <c r="S35" s="6">
        <f t="shared" ca="1" si="1"/>
        <v>0.54809119458654787</v>
      </c>
      <c r="T35">
        <f ca="1">O19</f>
        <v>98.5</v>
      </c>
    </row>
    <row r="36" spans="1:20" x14ac:dyDescent="0.25">
      <c r="A36" s="2"/>
      <c r="D36" s="37">
        <f>B20</f>
        <v>0</v>
      </c>
      <c r="E36" s="37">
        <f t="shared" si="0"/>
        <v>0</v>
      </c>
      <c r="F36">
        <f>A19</f>
        <v>98.5</v>
      </c>
      <c r="O36" s="2"/>
      <c r="R36" s="37">
        <f>P20</f>
        <v>0</v>
      </c>
      <c r="S36" s="6">
        <f t="shared" si="1"/>
        <v>0</v>
      </c>
      <c r="T36">
        <f ca="1">O19</f>
        <v>98.5</v>
      </c>
    </row>
    <row r="37" spans="1:20" x14ac:dyDescent="0.25">
      <c r="A37" s="2"/>
      <c r="D37" s="37"/>
      <c r="E37" s="37"/>
      <c r="O37" s="2"/>
      <c r="R37" s="37">
        <f>P20</f>
        <v>0</v>
      </c>
      <c r="S37" s="6">
        <f t="shared" si="1"/>
        <v>0</v>
      </c>
      <c r="T37" t="str">
        <f>O20</f>
        <v xml:space="preserve"> </v>
      </c>
    </row>
    <row r="38" spans="1:20" x14ac:dyDescent="0.25">
      <c r="A38" s="2"/>
      <c r="D38" s="37"/>
      <c r="E38" s="37"/>
      <c r="O38" s="2"/>
      <c r="R38" s="37">
        <f>P21</f>
        <v>0</v>
      </c>
      <c r="S38" s="6">
        <f t="shared" si="1"/>
        <v>0</v>
      </c>
      <c r="T38" t="str">
        <f>O20</f>
        <v xml:space="preserve"> </v>
      </c>
    </row>
    <row r="39" spans="1:20" x14ac:dyDescent="0.25">
      <c r="A39" s="2"/>
      <c r="D39" s="37"/>
      <c r="E39" s="37"/>
      <c r="O39" s="2"/>
      <c r="R39" s="37">
        <f>P21</f>
        <v>0</v>
      </c>
      <c r="S39" s="6">
        <f t="shared" si="1"/>
        <v>0</v>
      </c>
      <c r="T39" t="str">
        <f>O21</f>
        <v xml:space="preserve"> </v>
      </c>
    </row>
    <row r="40" spans="1:20" x14ac:dyDescent="0.25">
      <c r="A40" s="2"/>
      <c r="D40" s="37"/>
      <c r="E40" s="37"/>
      <c r="O40" s="2"/>
      <c r="R40" s="37">
        <f>P22</f>
        <v>0</v>
      </c>
      <c r="S40" s="6">
        <f t="shared" si="1"/>
        <v>0</v>
      </c>
      <c r="T40" t="str">
        <f>O21</f>
        <v xml:space="preserve"> </v>
      </c>
    </row>
    <row r="41" spans="1:20" x14ac:dyDescent="0.25">
      <c r="A41" s="2"/>
      <c r="D41" s="37"/>
      <c r="E41" s="37"/>
      <c r="O41" s="2"/>
      <c r="R41" s="37">
        <f>P22</f>
        <v>0</v>
      </c>
      <c r="S41" s="6">
        <f t="shared" si="1"/>
        <v>0</v>
      </c>
      <c r="T41" t="str">
        <f>O22</f>
        <v xml:space="preserve"> </v>
      </c>
    </row>
    <row r="42" spans="1:20" x14ac:dyDescent="0.25">
      <c r="A42" s="2"/>
      <c r="D42" s="37"/>
      <c r="E42" s="37"/>
      <c r="O42" s="2"/>
      <c r="R42" s="37">
        <f>P23</f>
        <v>0</v>
      </c>
      <c r="S42" s="6">
        <f t="shared" si="1"/>
        <v>0</v>
      </c>
      <c r="T42" t="str">
        <f>O22</f>
        <v xml:space="preserve"> </v>
      </c>
    </row>
    <row r="43" spans="1:20" x14ac:dyDescent="0.25">
      <c r="A43" s="2"/>
      <c r="D43" s="37"/>
      <c r="E43" s="37"/>
      <c r="O43" s="2"/>
      <c r="R43" s="37">
        <f>P23</f>
        <v>0</v>
      </c>
      <c r="S43" s="6">
        <f t="shared" si="1"/>
        <v>0</v>
      </c>
    </row>
    <row r="44" spans="1:20" x14ac:dyDescent="0.25">
      <c r="E44" s="37" t="str">
        <f t="shared" ref="E44" si="2">IF(D44="n.a.","",(IF(D44=0,"",D44)))</f>
        <v/>
      </c>
    </row>
  </sheetData>
  <mergeCells count="3">
    <mergeCell ref="A1:F1"/>
    <mergeCell ref="O1:T1"/>
    <mergeCell ref="V1:W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P26" sqref="P26"/>
    </sheetView>
  </sheetViews>
  <sheetFormatPr defaultRowHeight="13.2" x14ac:dyDescent="0.25"/>
  <sheetData>
    <row r="1" spans="1:18" ht="14.4" x14ac:dyDescent="0.3">
      <c r="A1" s="98" t="s">
        <v>108</v>
      </c>
      <c r="B1" s="99"/>
      <c r="C1" s="99"/>
      <c r="D1" s="99"/>
      <c r="E1" s="99"/>
      <c r="F1" s="99"/>
    </row>
    <row r="3" spans="1:18" x14ac:dyDescent="0.25">
      <c r="A3" s="35" t="s">
        <v>75</v>
      </c>
      <c r="B3" s="36" t="s">
        <v>109</v>
      </c>
      <c r="D3" s="36" t="s">
        <v>109</v>
      </c>
      <c r="E3" s="36" t="s">
        <v>109</v>
      </c>
      <c r="F3" s="35" t="s">
        <v>75</v>
      </c>
      <c r="Q3">
        <v>0</v>
      </c>
      <c r="R3">
        <v>1</v>
      </c>
    </row>
    <row r="4" spans="1:18" x14ac:dyDescent="0.25">
      <c r="A4" s="11">
        <f>IF('B-1'!A16=0," ",'B-1'!A16)</f>
        <v>1</v>
      </c>
      <c r="B4" s="2" t="str">
        <f>'B-1'!Y16</f>
        <v>n.a.</v>
      </c>
      <c r="D4" s="37" t="str">
        <f>B4</f>
        <v>n.a.</v>
      </c>
      <c r="E4" s="37">
        <f>IF(D4="n.a.",0,(IF(D4=0,0,D4)))</f>
        <v>0</v>
      </c>
      <c r="F4">
        <v>0</v>
      </c>
      <c r="Q4">
        <v>100</v>
      </c>
      <c r="R4">
        <v>1</v>
      </c>
    </row>
    <row r="5" spans="1:18" x14ac:dyDescent="0.25">
      <c r="A5" s="11">
        <f>IF('B-1'!A17=0," ",'B-1'!A17)</f>
        <v>3.5</v>
      </c>
      <c r="B5" s="2">
        <f ca="1">'B-1'!Y17</f>
        <v>0.26829569792410468</v>
      </c>
      <c r="D5" s="37" t="str">
        <f>B4</f>
        <v>n.a.</v>
      </c>
      <c r="E5" s="37">
        <f t="shared" ref="E5:E36" si="0">IF(D5="n.a.",0,(IF(D5=0,0,D5)))</f>
        <v>0</v>
      </c>
      <c r="F5">
        <f>A4</f>
        <v>1</v>
      </c>
    </row>
    <row r="6" spans="1:18" x14ac:dyDescent="0.25">
      <c r="A6" s="11">
        <f>IF('B-1'!A18=0," ",'B-1'!A18)</f>
        <v>6</v>
      </c>
      <c r="B6" s="2">
        <f ca="1">'B-1'!Y18</f>
        <v>0.22558532278471669</v>
      </c>
      <c r="D6" s="37">
        <f ca="1">B5</f>
        <v>0.26829569792410468</v>
      </c>
      <c r="E6" s="37">
        <f t="shared" ca="1" si="0"/>
        <v>0.26829569792410468</v>
      </c>
      <c r="F6">
        <f>A4</f>
        <v>1</v>
      </c>
    </row>
    <row r="7" spans="1:18" x14ac:dyDescent="0.25">
      <c r="A7" s="11">
        <f>IF('B-1'!A19=0," ",'B-1'!A19)</f>
        <v>8.5</v>
      </c>
      <c r="B7" s="2">
        <f ca="1">'B-1'!Y19</f>
        <v>0.13669267094752827</v>
      </c>
      <c r="D7" s="37">
        <f ca="1">B5</f>
        <v>0.26829569792410468</v>
      </c>
      <c r="E7" s="37">
        <f t="shared" ca="1" si="0"/>
        <v>0.26829569792410468</v>
      </c>
      <c r="F7">
        <f>A5</f>
        <v>3.5</v>
      </c>
    </row>
    <row r="8" spans="1:18" x14ac:dyDescent="0.25">
      <c r="A8" s="11">
        <f>IF('B-1'!A20=0," ",'B-1'!A20)</f>
        <v>13.5</v>
      </c>
      <c r="B8" s="2">
        <f ca="1">'B-1'!Y20</f>
        <v>1.3273681472548258</v>
      </c>
      <c r="D8" s="37">
        <f ca="1">B6</f>
        <v>0.22558532278471669</v>
      </c>
      <c r="E8" s="37">
        <f t="shared" ca="1" si="0"/>
        <v>0.22558532278471669</v>
      </c>
      <c r="F8">
        <f>A5</f>
        <v>3.5</v>
      </c>
    </row>
    <row r="9" spans="1:18" x14ac:dyDescent="0.25">
      <c r="A9" s="11">
        <f>IF('B-1'!A21=0," ",'B-1'!A21)</f>
        <v>18.5</v>
      </c>
      <c r="B9" s="2">
        <f ca="1">'B-1'!Y21</f>
        <v>0.17790952576449626</v>
      </c>
      <c r="D9" s="37">
        <f ca="1">B6</f>
        <v>0.22558532278471669</v>
      </c>
      <c r="E9" s="37">
        <f t="shared" ca="1" si="0"/>
        <v>0.22558532278471669</v>
      </c>
      <c r="F9">
        <f>A6</f>
        <v>6</v>
      </c>
    </row>
    <row r="10" spans="1:18" x14ac:dyDescent="0.25">
      <c r="A10" s="11">
        <f>IF('B-1'!A22=0," ",'B-1'!A22)</f>
        <v>23.5</v>
      </c>
      <c r="B10" s="2">
        <f ca="1">'B-1'!Y22</f>
        <v>0.25959726420627999</v>
      </c>
      <c r="D10" s="37">
        <f ca="1">B7</f>
        <v>0.13669267094752827</v>
      </c>
      <c r="E10" s="37">
        <f t="shared" ca="1" si="0"/>
        <v>0.13669267094752827</v>
      </c>
      <c r="F10">
        <f>A6</f>
        <v>6</v>
      </c>
    </row>
    <row r="11" spans="1:18" x14ac:dyDescent="0.25">
      <c r="A11" s="11">
        <f>IF('B-1'!A23=0," ",'B-1'!A23)</f>
        <v>28.5</v>
      </c>
      <c r="B11" s="2">
        <f ca="1">'B-1'!Y23</f>
        <v>0.23310292465124136</v>
      </c>
      <c r="D11" s="37">
        <f ca="1">B7</f>
        <v>0.13669267094752827</v>
      </c>
      <c r="E11" s="37">
        <f t="shared" ca="1" si="0"/>
        <v>0.13669267094752827</v>
      </c>
      <c r="F11">
        <f>A7</f>
        <v>8.5</v>
      </c>
    </row>
    <row r="12" spans="1:18" x14ac:dyDescent="0.25">
      <c r="A12" s="11">
        <f>IF('B-1'!A24=0," ",'B-1'!A24)</f>
        <v>33.5</v>
      </c>
      <c r="B12" s="2">
        <f ca="1">'B-1'!Y24</f>
        <v>1.6382371161579401</v>
      </c>
      <c r="D12" s="37">
        <f ca="1">B8</f>
        <v>1.3273681472548258</v>
      </c>
      <c r="E12" s="37">
        <f t="shared" ca="1" si="0"/>
        <v>1.3273681472548258</v>
      </c>
      <c r="F12">
        <f>A7</f>
        <v>8.5</v>
      </c>
    </row>
    <row r="13" spans="1:18" x14ac:dyDescent="0.25">
      <c r="A13" s="11">
        <f>IF('B-1'!A25=0," ",'B-1'!A25)</f>
        <v>38.5</v>
      </c>
      <c r="B13" s="2">
        <f ca="1">'B-1'!Y25</f>
        <v>0.28791722243428436</v>
      </c>
      <c r="D13" s="37">
        <f ca="1">B8</f>
        <v>1.3273681472548258</v>
      </c>
      <c r="E13" s="37">
        <f t="shared" ca="1" si="0"/>
        <v>1.3273681472548258</v>
      </c>
      <c r="F13">
        <f>A8</f>
        <v>13.5</v>
      </c>
    </row>
    <row r="14" spans="1:18" x14ac:dyDescent="0.25">
      <c r="A14" s="11">
        <f>IF('B-1'!A26=0," ",'B-1'!A26)</f>
        <v>43.5</v>
      </c>
      <c r="B14" s="2">
        <f ca="1">'B-1'!Y26</f>
        <v>0.22252479900895739</v>
      </c>
      <c r="D14" s="37">
        <f ca="1">B9</f>
        <v>0.17790952576449626</v>
      </c>
      <c r="E14" s="37">
        <f t="shared" ca="1" si="0"/>
        <v>0.17790952576449626</v>
      </c>
      <c r="F14">
        <f>A8</f>
        <v>13.5</v>
      </c>
    </row>
    <row r="15" spans="1:18" x14ac:dyDescent="0.25">
      <c r="A15" s="11">
        <f>IF('B-1'!A27=0," ",'B-1'!A27)</f>
        <v>48.5</v>
      </c>
      <c r="B15" s="2">
        <f ca="1">'B-1'!Y27</f>
        <v>0.33928779075206889</v>
      </c>
      <c r="D15" s="37">
        <f ca="1">B9</f>
        <v>0.17790952576449626</v>
      </c>
      <c r="E15" s="37">
        <f t="shared" ca="1" si="0"/>
        <v>0.17790952576449626</v>
      </c>
      <c r="F15">
        <f>A9</f>
        <v>18.5</v>
      </c>
    </row>
    <row r="16" spans="1:18" x14ac:dyDescent="0.25">
      <c r="A16" s="11">
        <f>IF('B-1'!A28=0," ",'B-1'!A28)</f>
        <v>53.5</v>
      </c>
      <c r="B16" s="2">
        <f ca="1">'B-1'!Y28</f>
        <v>0.16051378844981948</v>
      </c>
      <c r="D16" s="37">
        <f ca="1">B10</f>
        <v>0.25959726420627999</v>
      </c>
      <c r="E16" s="37">
        <f t="shared" ca="1" si="0"/>
        <v>0.25959726420627999</v>
      </c>
      <c r="F16">
        <f>A9</f>
        <v>18.5</v>
      </c>
    </row>
    <row r="17" spans="1:6" x14ac:dyDescent="0.25">
      <c r="A17" s="11">
        <f>IF('B-1'!A29=0," ",'B-1'!A29)</f>
        <v>58.5</v>
      </c>
      <c r="B17" s="2">
        <f ca="1">'B-1'!Y29</f>
        <v>1.4278794686500056</v>
      </c>
      <c r="D17" s="37">
        <f ca="1">B10</f>
        <v>0.25959726420627999</v>
      </c>
      <c r="E17" s="37">
        <f t="shared" ca="1" si="0"/>
        <v>0.25959726420627999</v>
      </c>
      <c r="F17">
        <f>A10</f>
        <v>23.5</v>
      </c>
    </row>
    <row r="18" spans="1:6" x14ac:dyDescent="0.25">
      <c r="A18" s="11">
        <f>IF('B-1'!A30=0," ",'B-1'!A30)</f>
        <v>78.5</v>
      </c>
      <c r="B18" s="2">
        <f ca="1">'B-1'!Y30</f>
        <v>0.15374894587338828</v>
      </c>
      <c r="D18" s="37">
        <f ca="1">B11</f>
        <v>0.23310292465124136</v>
      </c>
      <c r="E18" s="37">
        <f t="shared" ca="1" si="0"/>
        <v>0.23310292465124136</v>
      </c>
      <c r="F18">
        <f>A10</f>
        <v>23.5</v>
      </c>
    </row>
    <row r="19" spans="1:6" x14ac:dyDescent="0.25">
      <c r="A19" s="11">
        <f>IF('B-1'!A31=0," ",'B-1'!A31)</f>
        <v>98.5</v>
      </c>
      <c r="B19" s="2">
        <f ca="1">'B-1'!Y31</f>
        <v>0.54809119458654787</v>
      </c>
      <c r="D19" s="37">
        <f ca="1">B11</f>
        <v>0.23310292465124136</v>
      </c>
      <c r="E19" s="37">
        <f t="shared" ca="1" si="0"/>
        <v>0.23310292465124136</v>
      </c>
      <c r="F19">
        <f>A11</f>
        <v>28.5</v>
      </c>
    </row>
    <row r="20" spans="1:6" x14ac:dyDescent="0.25">
      <c r="A20" s="11" t="str">
        <f>IF('B-1'!A32=0," ",'B-1'!A32)</f>
        <v xml:space="preserve"> </v>
      </c>
      <c r="B20" s="2"/>
      <c r="D20" s="37">
        <f ca="1">B12</f>
        <v>1.6382371161579401</v>
      </c>
      <c r="E20" s="37">
        <f t="shared" ca="1" si="0"/>
        <v>1.6382371161579401</v>
      </c>
      <c r="F20">
        <f>A11</f>
        <v>28.5</v>
      </c>
    </row>
    <row r="21" spans="1:6" x14ac:dyDescent="0.25">
      <c r="A21" s="11" t="str">
        <f>IF('B-1'!A33=0," ",'B-1'!A33)</f>
        <v xml:space="preserve"> </v>
      </c>
      <c r="B21" s="2"/>
      <c r="D21" s="37">
        <f ca="1">B12</f>
        <v>1.6382371161579401</v>
      </c>
      <c r="E21" s="37">
        <f t="shared" ca="1" si="0"/>
        <v>1.6382371161579401</v>
      </c>
      <c r="F21">
        <f>A12</f>
        <v>33.5</v>
      </c>
    </row>
    <row r="22" spans="1:6" x14ac:dyDescent="0.25">
      <c r="A22" s="11" t="str">
        <f>IF('B-1'!A34=0," ",'B-1'!A34)</f>
        <v xml:space="preserve"> </v>
      </c>
      <c r="B22" s="2"/>
      <c r="D22" s="37">
        <f ca="1">B13</f>
        <v>0.28791722243428436</v>
      </c>
      <c r="E22" s="37">
        <f t="shared" ca="1" si="0"/>
        <v>0.28791722243428436</v>
      </c>
      <c r="F22">
        <f>A12</f>
        <v>33.5</v>
      </c>
    </row>
    <row r="23" spans="1:6" x14ac:dyDescent="0.25">
      <c r="A23" s="11"/>
      <c r="B23" s="2"/>
      <c r="D23" s="37">
        <f ca="1">B13</f>
        <v>0.28791722243428436</v>
      </c>
      <c r="E23" s="37">
        <f t="shared" ca="1" si="0"/>
        <v>0.28791722243428436</v>
      </c>
      <c r="F23">
        <f>A13</f>
        <v>38.5</v>
      </c>
    </row>
    <row r="24" spans="1:6" x14ac:dyDescent="0.25">
      <c r="A24" s="11"/>
      <c r="B24" s="2"/>
      <c r="D24" s="37">
        <f ca="1">B14</f>
        <v>0.22252479900895739</v>
      </c>
      <c r="E24" s="37">
        <f t="shared" ca="1" si="0"/>
        <v>0.22252479900895739</v>
      </c>
      <c r="F24">
        <f>A13</f>
        <v>38.5</v>
      </c>
    </row>
    <row r="25" spans="1:6" x14ac:dyDescent="0.25">
      <c r="A25" s="2"/>
      <c r="B25" s="2"/>
      <c r="D25" s="37">
        <f ca="1">B14</f>
        <v>0.22252479900895739</v>
      </c>
      <c r="E25" s="37">
        <f t="shared" ca="1" si="0"/>
        <v>0.22252479900895739</v>
      </c>
      <c r="F25">
        <f>A14</f>
        <v>43.5</v>
      </c>
    </row>
    <row r="26" spans="1:6" x14ac:dyDescent="0.25">
      <c r="A26" s="2"/>
      <c r="B26" s="2"/>
      <c r="D26" s="37">
        <f ca="1">B15</f>
        <v>0.33928779075206889</v>
      </c>
      <c r="E26" s="37">
        <f t="shared" ca="1" si="0"/>
        <v>0.33928779075206889</v>
      </c>
      <c r="F26">
        <f>A14</f>
        <v>43.5</v>
      </c>
    </row>
    <row r="27" spans="1:6" x14ac:dyDescent="0.25">
      <c r="A27" s="2"/>
      <c r="B27" s="2"/>
      <c r="D27" s="37">
        <f ca="1">B15</f>
        <v>0.33928779075206889</v>
      </c>
      <c r="E27" s="37">
        <f t="shared" ca="1" si="0"/>
        <v>0.33928779075206889</v>
      </c>
      <c r="F27">
        <f>A15</f>
        <v>48.5</v>
      </c>
    </row>
    <row r="28" spans="1:6" x14ac:dyDescent="0.25">
      <c r="A28" s="2"/>
      <c r="B28" s="2"/>
      <c r="D28" s="37">
        <f ca="1">B16</f>
        <v>0.16051378844981948</v>
      </c>
      <c r="E28" s="37">
        <f t="shared" ca="1" si="0"/>
        <v>0.16051378844981948</v>
      </c>
      <c r="F28">
        <f>A15</f>
        <v>48.5</v>
      </c>
    </row>
    <row r="29" spans="1:6" x14ac:dyDescent="0.25">
      <c r="A29" s="2"/>
      <c r="B29" s="2"/>
      <c r="D29" s="37">
        <f ca="1">B16</f>
        <v>0.16051378844981948</v>
      </c>
      <c r="E29" s="37">
        <f t="shared" ca="1" si="0"/>
        <v>0.16051378844981948</v>
      </c>
      <c r="F29">
        <f>A16</f>
        <v>53.5</v>
      </c>
    </row>
    <row r="30" spans="1:6" x14ac:dyDescent="0.25">
      <c r="A30" s="2"/>
      <c r="B30" s="2"/>
      <c r="D30" s="37">
        <f ca="1">B17</f>
        <v>1.4278794686500056</v>
      </c>
      <c r="E30" s="37">
        <f t="shared" ca="1" si="0"/>
        <v>1.4278794686500056</v>
      </c>
      <c r="F30">
        <f>A16</f>
        <v>53.5</v>
      </c>
    </row>
    <row r="31" spans="1:6" x14ac:dyDescent="0.25">
      <c r="A31" s="2"/>
      <c r="D31" s="37">
        <f ca="1">B17</f>
        <v>1.4278794686500056</v>
      </c>
      <c r="E31" s="37">
        <f t="shared" ca="1" si="0"/>
        <v>1.4278794686500056</v>
      </c>
      <c r="F31">
        <f>A17</f>
        <v>58.5</v>
      </c>
    </row>
    <row r="32" spans="1:6" x14ac:dyDescent="0.25">
      <c r="A32" s="2"/>
      <c r="D32" s="37">
        <f ca="1">B18</f>
        <v>0.15374894587338828</v>
      </c>
      <c r="E32" s="37">
        <f t="shared" ca="1" si="0"/>
        <v>0.15374894587338828</v>
      </c>
      <c r="F32">
        <f>A17</f>
        <v>58.5</v>
      </c>
    </row>
    <row r="33" spans="1:6" x14ac:dyDescent="0.25">
      <c r="A33" s="2"/>
      <c r="D33" s="37">
        <f ca="1">B18</f>
        <v>0.15374894587338828</v>
      </c>
      <c r="E33" s="37">
        <f t="shared" ca="1" si="0"/>
        <v>0.15374894587338828</v>
      </c>
      <c r="F33">
        <f>A18</f>
        <v>78.5</v>
      </c>
    </row>
    <row r="34" spans="1:6" x14ac:dyDescent="0.25">
      <c r="A34" s="2"/>
      <c r="D34" s="37">
        <f ca="1">B19</f>
        <v>0.54809119458654787</v>
      </c>
      <c r="E34" s="37">
        <f t="shared" ca="1" si="0"/>
        <v>0.54809119458654787</v>
      </c>
      <c r="F34">
        <f>A18</f>
        <v>78.5</v>
      </c>
    </row>
    <row r="35" spans="1:6" x14ac:dyDescent="0.25">
      <c r="A35" s="2"/>
      <c r="D35" s="37">
        <f ca="1">B19</f>
        <v>0.54809119458654787</v>
      </c>
      <c r="E35" s="37">
        <f t="shared" ca="1" si="0"/>
        <v>0.54809119458654787</v>
      </c>
      <c r="F35">
        <f>A19</f>
        <v>98.5</v>
      </c>
    </row>
    <row r="36" spans="1:6" x14ac:dyDescent="0.25">
      <c r="A36" s="2"/>
      <c r="D36" s="37">
        <f>B20</f>
        <v>0</v>
      </c>
      <c r="E36" s="37">
        <f t="shared" si="0"/>
        <v>0</v>
      </c>
      <c r="F36">
        <f>A19</f>
        <v>98.5</v>
      </c>
    </row>
    <row r="37" spans="1:6" x14ac:dyDescent="0.25">
      <c r="A37" s="2"/>
      <c r="D37" s="37"/>
      <c r="E37" s="37"/>
    </row>
    <row r="38" spans="1:6" x14ac:dyDescent="0.25">
      <c r="A38" s="2"/>
      <c r="D38" s="37"/>
      <c r="E38" s="37"/>
    </row>
    <row r="39" spans="1:6" x14ac:dyDescent="0.25">
      <c r="A39" s="2"/>
      <c r="D39" s="37"/>
      <c r="E39" s="37"/>
    </row>
    <row r="40" spans="1:6" x14ac:dyDescent="0.25">
      <c r="A40" s="2"/>
      <c r="D40" s="37"/>
      <c r="E40" s="37"/>
    </row>
    <row r="41" spans="1:6" x14ac:dyDescent="0.25">
      <c r="A41" s="2"/>
      <c r="D41" s="37"/>
      <c r="E41" s="37"/>
    </row>
    <row r="42" spans="1:6" x14ac:dyDescent="0.25">
      <c r="A42" s="2"/>
      <c r="D42" s="37"/>
      <c r="E42" s="37"/>
    </row>
    <row r="43" spans="1:6" x14ac:dyDescent="0.25">
      <c r="A43" s="2"/>
      <c r="D43" s="37"/>
      <c r="E43" s="37"/>
    </row>
    <row r="44" spans="1:6" x14ac:dyDescent="0.25">
      <c r="E44" s="37" t="str">
        <f t="shared" ref="E44" si="1">IF(D44="n.a.","",(IF(D44=0,"",D44)))</f>
        <v/>
      </c>
    </row>
  </sheetData>
  <mergeCells count="1">
    <mergeCell ref="A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B-1</vt:lpstr>
      <vt:lpstr>SPT Graph</vt:lpstr>
      <vt:lpstr>CSR_CRR Graph</vt:lpstr>
      <vt:lpstr>Factor Safety</vt:lpstr>
      <vt:lpstr>Cb</vt:lpstr>
      <vt:lpstr>Ce</vt:lpstr>
      <vt:lpstr>Cr</vt:lpstr>
      <vt:lpstr>Cs</vt:lpstr>
      <vt:lpstr>Mw</vt:lpstr>
      <vt:lpstr>PGA</vt:lpstr>
      <vt:lpstr>'B-1'!Print_Area</vt:lpstr>
    </vt:vector>
  </TitlesOfParts>
  <Company>PSI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 User</dc:creator>
  <cp:lastModifiedBy>Shahram Pezeshk (spezeshk)</cp:lastModifiedBy>
  <cp:lastPrinted>2011-04-27T22:27:51Z</cp:lastPrinted>
  <dcterms:created xsi:type="dcterms:W3CDTF">2001-09-21T19:32:27Z</dcterms:created>
  <dcterms:modified xsi:type="dcterms:W3CDTF">2017-12-20T19:22:12Z</dcterms:modified>
</cp:coreProperties>
</file>