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Diwas\Dropbox\CIVL_7012_8012_S20\Lectures\"/>
    </mc:Choice>
  </mc:AlternateContent>
  <xr:revisionPtr revIDLastSave="0" documentId="13_ncr:1_{EA1DC5AF-CD2A-4629-9202-AA7379FC6B41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HandCalculation" sheetId="1" r:id="rId1"/>
    <sheet name="Base_MOM" sheetId="5" r:id="rId2"/>
    <sheet name="OLS_Optim" sheetId="4" r:id="rId3"/>
    <sheet name="ML" sheetId="7" r:id="rId4"/>
    <sheet name="Excel_results" sheetId="11" r:id="rId5"/>
  </sheets>
  <definedNames>
    <definedName name="solver_adj" localSheetId="1" hidden="1">Base_MOM!$B$15:$C$15</definedName>
    <definedName name="solver_adj" localSheetId="3" hidden="1">ML!$K$2:$K$3</definedName>
    <definedName name="solver_adj" localSheetId="2" hidden="1">OLS_Optim!$K$2:$L$2</definedName>
    <definedName name="solver_cvg" localSheetId="1" hidden="1">0.0001</definedName>
    <definedName name="solver_cvg" localSheetId="3" hidden="1">0.0001</definedName>
    <definedName name="solver_cvg" localSheetId="2" hidden="1">0.0001</definedName>
    <definedName name="solver_drv" localSheetId="1" hidden="1">1</definedName>
    <definedName name="solver_drv" localSheetId="3" hidden="1">1</definedName>
    <definedName name="solver_drv" localSheetId="2" hidden="1">1</definedName>
    <definedName name="solver_eng" localSheetId="1" hidden="1">1</definedName>
    <definedName name="solver_eng" localSheetId="3" hidden="1">1</definedName>
    <definedName name="solver_eng" localSheetId="2" hidden="1">1</definedName>
    <definedName name="solver_est" localSheetId="1" hidden="1">1</definedName>
    <definedName name="solver_est" localSheetId="3" hidden="1">1</definedName>
    <definedName name="solver_est" localSheetId="2" hidden="1">1</definedName>
    <definedName name="solver_itr" localSheetId="1" hidden="1">2147483647</definedName>
    <definedName name="solver_itr" localSheetId="3" hidden="1">2147483647</definedName>
    <definedName name="solver_itr" localSheetId="2" hidden="1">2147483647</definedName>
    <definedName name="solver_mip" localSheetId="1" hidden="1">2147483647</definedName>
    <definedName name="solver_mip" localSheetId="3" hidden="1">2147483647</definedName>
    <definedName name="solver_mip" localSheetId="2" hidden="1">2147483647</definedName>
    <definedName name="solver_mni" localSheetId="1" hidden="1">30</definedName>
    <definedName name="solver_mni" localSheetId="3" hidden="1">30</definedName>
    <definedName name="solver_mni" localSheetId="2" hidden="1">30</definedName>
    <definedName name="solver_mrt" localSheetId="1" hidden="1">0.075</definedName>
    <definedName name="solver_mrt" localSheetId="3" hidden="1">0.075</definedName>
    <definedName name="solver_mrt" localSheetId="2" hidden="1">0.075</definedName>
    <definedName name="solver_msl" localSheetId="1" hidden="1">2</definedName>
    <definedName name="solver_msl" localSheetId="3" hidden="1">2</definedName>
    <definedName name="solver_msl" localSheetId="2" hidden="1">2</definedName>
    <definedName name="solver_neg" localSheetId="1" hidden="1">2</definedName>
    <definedName name="solver_neg" localSheetId="3" hidden="1">2</definedName>
    <definedName name="solver_neg" localSheetId="2" hidden="1">2</definedName>
    <definedName name="solver_nod" localSheetId="1" hidden="1">2147483647</definedName>
    <definedName name="solver_nod" localSheetId="3" hidden="1">2147483647</definedName>
    <definedName name="solver_nod" localSheetId="2" hidden="1">2147483647</definedName>
    <definedName name="solver_num" localSheetId="1" hidden="1">0</definedName>
    <definedName name="solver_num" localSheetId="3" hidden="1">0</definedName>
    <definedName name="solver_num" localSheetId="2" hidden="1">0</definedName>
    <definedName name="solver_nwt" localSheetId="1" hidden="1">1</definedName>
    <definedName name="solver_nwt" localSheetId="3" hidden="1">1</definedName>
    <definedName name="solver_nwt" localSheetId="2" hidden="1">1</definedName>
    <definedName name="solver_opt" localSheetId="1" hidden="1">Base_MOM!$D$12</definedName>
    <definedName name="solver_opt" localSheetId="3" hidden="1">ML!$E$17</definedName>
    <definedName name="solver_opt" localSheetId="2" hidden="1">OLS_Optim!$J$15</definedName>
    <definedName name="solver_pre" localSheetId="1" hidden="1">0.000001</definedName>
    <definedName name="solver_pre" localSheetId="3" hidden="1">0.000001</definedName>
    <definedName name="solver_pre" localSheetId="2" hidden="1">0.000001</definedName>
    <definedName name="solver_rbv" localSheetId="1" hidden="1">1</definedName>
    <definedName name="solver_rbv" localSheetId="3" hidden="1">1</definedName>
    <definedName name="solver_rbv" localSheetId="2" hidden="1">1</definedName>
    <definedName name="solver_rlx" localSheetId="1" hidden="1">2</definedName>
    <definedName name="solver_rlx" localSheetId="3" hidden="1">2</definedName>
    <definedName name="solver_rlx" localSheetId="2" hidden="1">2</definedName>
    <definedName name="solver_rsd" localSheetId="1" hidden="1">0</definedName>
    <definedName name="solver_rsd" localSheetId="3" hidden="1">0</definedName>
    <definedName name="solver_rsd" localSheetId="2" hidden="1">0</definedName>
    <definedName name="solver_scl" localSheetId="1" hidden="1">1</definedName>
    <definedName name="solver_scl" localSheetId="3" hidden="1">1</definedName>
    <definedName name="solver_scl" localSheetId="2" hidden="1">1</definedName>
    <definedName name="solver_sho" localSheetId="1" hidden="1">2</definedName>
    <definedName name="solver_sho" localSheetId="3" hidden="1">2</definedName>
    <definedName name="solver_sho" localSheetId="2" hidden="1">2</definedName>
    <definedName name="solver_ssz" localSheetId="1" hidden="1">100</definedName>
    <definedName name="solver_ssz" localSheetId="3" hidden="1">100</definedName>
    <definedName name="solver_ssz" localSheetId="2" hidden="1">100</definedName>
    <definedName name="solver_tim" localSheetId="1" hidden="1">2147483647</definedName>
    <definedName name="solver_tim" localSheetId="3" hidden="1">2147483647</definedName>
    <definedName name="solver_tim" localSheetId="2" hidden="1">2147483647</definedName>
    <definedName name="solver_tol" localSheetId="1" hidden="1">0.01</definedName>
    <definedName name="solver_tol" localSheetId="3" hidden="1">0.01</definedName>
    <definedName name="solver_tol" localSheetId="2" hidden="1">0.01</definedName>
    <definedName name="solver_typ" localSheetId="1" hidden="1">2</definedName>
    <definedName name="solver_typ" localSheetId="3" hidden="1">1</definedName>
    <definedName name="solver_typ" localSheetId="2" hidden="1">2</definedName>
    <definedName name="solver_val" localSheetId="1" hidden="1">0</definedName>
    <definedName name="solver_val" localSheetId="3" hidden="1">0</definedName>
    <definedName name="solver_val" localSheetId="2" hidden="1">0</definedName>
    <definedName name="solver_ver" localSheetId="1" hidden="1">3</definedName>
    <definedName name="solver_ver" localSheetId="3" hidden="1">3</definedName>
    <definedName name="solver_ver" localSheetId="2" hidden="1">3</definedName>
    <definedName name="WBMAX">ML!$E$17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5" l="1"/>
  <c r="H26" i="5"/>
  <c r="H25" i="5"/>
  <c r="H24" i="5"/>
  <c r="H23" i="5" l="1"/>
  <c r="H20" i="5"/>
  <c r="S21" i="5" l="1"/>
  <c r="I5" i="4" l="1"/>
  <c r="E14" i="7"/>
  <c r="C13" i="7"/>
  <c r="E15" i="7" s="1"/>
  <c r="E6" i="7" l="1"/>
  <c r="E8" i="7"/>
  <c r="E3" i="7"/>
  <c r="E2" i="7"/>
  <c r="E11" i="7"/>
  <c r="E10" i="7"/>
  <c r="E9" i="7"/>
  <c r="E7" i="7"/>
  <c r="E5" i="7"/>
  <c r="E4" i="7"/>
  <c r="E12" i="7" l="1"/>
  <c r="E17" i="7" s="1"/>
  <c r="N3" i="5" l="1"/>
  <c r="N4" i="5"/>
  <c r="N5" i="5"/>
  <c r="N6" i="5"/>
  <c r="N7" i="5"/>
  <c r="N8" i="5"/>
  <c r="N9" i="5"/>
  <c r="N10" i="5"/>
  <c r="N11" i="5"/>
  <c r="N2" i="5"/>
  <c r="C13" i="5"/>
  <c r="E2" i="5" s="1"/>
  <c r="B13" i="5"/>
  <c r="F3" i="5" s="1"/>
  <c r="B12" i="5"/>
  <c r="C12" i="5"/>
  <c r="K10" i="5" l="1"/>
  <c r="E10" i="5"/>
  <c r="H10" i="5" s="1"/>
  <c r="F2" i="5"/>
  <c r="G2" i="5" s="1"/>
  <c r="K9" i="5"/>
  <c r="E5" i="5"/>
  <c r="H5" i="5" s="1"/>
  <c r="E4" i="5"/>
  <c r="H4" i="5" s="1"/>
  <c r="F11" i="5"/>
  <c r="K8" i="5"/>
  <c r="E8" i="5"/>
  <c r="H8" i="5" s="1"/>
  <c r="F10" i="5"/>
  <c r="G10" i="5" s="1"/>
  <c r="K7" i="5"/>
  <c r="K2" i="5"/>
  <c r="K11" i="5"/>
  <c r="E11" i="5"/>
  <c r="H11" i="5" s="1"/>
  <c r="E9" i="5"/>
  <c r="H9" i="5" s="1"/>
  <c r="E7" i="5"/>
  <c r="H7" i="5" s="1"/>
  <c r="F4" i="5"/>
  <c r="E3" i="5"/>
  <c r="H3" i="5" s="1"/>
  <c r="E6" i="5"/>
  <c r="H6" i="5" s="1"/>
  <c r="N12" i="5"/>
  <c r="H2" i="5"/>
  <c r="K4" i="5"/>
  <c r="G5" i="5"/>
  <c r="N13" i="5"/>
  <c r="G4" i="5"/>
  <c r="K6" i="5"/>
  <c r="F9" i="5"/>
  <c r="G9" i="5" s="1"/>
  <c r="K5" i="5"/>
  <c r="F8" i="5"/>
  <c r="F7" i="5"/>
  <c r="K3" i="5"/>
  <c r="F6" i="5"/>
  <c r="F5" i="5"/>
  <c r="D3" i="5"/>
  <c r="D4" i="5"/>
  <c r="D5" i="5"/>
  <c r="D6" i="5"/>
  <c r="D7" i="5"/>
  <c r="D8" i="5"/>
  <c r="D9" i="5"/>
  <c r="D10" i="5"/>
  <c r="D11" i="5"/>
  <c r="D2" i="5"/>
  <c r="E12" i="5" l="1"/>
  <c r="G6" i="5"/>
  <c r="G7" i="5"/>
  <c r="E13" i="5"/>
  <c r="G8" i="5"/>
  <c r="G3" i="5"/>
  <c r="G12" i="5" s="1"/>
  <c r="H16" i="5" s="1"/>
  <c r="G11" i="5"/>
  <c r="K13" i="5"/>
  <c r="K12" i="5"/>
  <c r="F13" i="5"/>
  <c r="H12" i="5"/>
  <c r="H13" i="5"/>
  <c r="F12" i="5"/>
  <c r="G13" i="5"/>
  <c r="D13" i="5"/>
  <c r="D12" i="5"/>
  <c r="I6" i="4"/>
  <c r="I7" i="4"/>
  <c r="I8" i="4"/>
  <c r="I9" i="4"/>
  <c r="I10" i="4"/>
  <c r="I11" i="4"/>
  <c r="I12" i="4"/>
  <c r="I13" i="4"/>
  <c r="I14" i="4"/>
  <c r="H15" i="4"/>
  <c r="G15" i="4"/>
  <c r="H17" i="5" l="1"/>
  <c r="R6" i="1"/>
  <c r="R7" i="1"/>
  <c r="R8" i="1"/>
  <c r="R9" i="1"/>
  <c r="R10" i="1"/>
  <c r="R11" i="1"/>
  <c r="R12" i="1"/>
  <c r="R13" i="1"/>
  <c r="R14" i="1"/>
  <c r="R5" i="1"/>
  <c r="H16" i="1"/>
  <c r="I6" i="1" s="1"/>
  <c r="G16" i="1"/>
  <c r="J6" i="1" s="1"/>
  <c r="G15" i="1"/>
  <c r="H15" i="1"/>
  <c r="J13" i="1" l="1"/>
  <c r="J10" i="1"/>
  <c r="J11" i="1"/>
  <c r="O14" i="1"/>
  <c r="O11" i="1"/>
  <c r="J12" i="1"/>
  <c r="I9" i="1"/>
  <c r="L9" i="1" s="1"/>
  <c r="O13" i="1"/>
  <c r="O10" i="1"/>
  <c r="I12" i="1"/>
  <c r="L12" i="1" s="1"/>
  <c r="I11" i="1"/>
  <c r="L11" i="1" s="1"/>
  <c r="I10" i="1"/>
  <c r="R15" i="1"/>
  <c r="O12" i="1"/>
  <c r="I13" i="1"/>
  <c r="L13" i="1" s="1"/>
  <c r="R16" i="1"/>
  <c r="J8" i="1"/>
  <c r="O5" i="1"/>
  <c r="K6" i="1"/>
  <c r="L6" i="1"/>
  <c r="O9" i="1"/>
  <c r="O8" i="1"/>
  <c r="J7" i="1"/>
  <c r="I11" i="5"/>
  <c r="I2" i="5"/>
  <c r="I4" i="5"/>
  <c r="I5" i="5"/>
  <c r="I8" i="5"/>
  <c r="I3" i="5"/>
  <c r="I6" i="5"/>
  <c r="I7" i="5"/>
  <c r="I9" i="5"/>
  <c r="I10" i="5"/>
  <c r="I8" i="1"/>
  <c r="O6" i="1"/>
  <c r="I5" i="1"/>
  <c r="J5" i="1"/>
  <c r="I7" i="1"/>
  <c r="J9" i="1"/>
  <c r="K9" i="1" s="1"/>
  <c r="J14" i="1"/>
  <c r="O7" i="1"/>
  <c r="I14" i="1"/>
  <c r="J6" i="4"/>
  <c r="J10" i="4"/>
  <c r="J7" i="4"/>
  <c r="J14" i="4"/>
  <c r="J12" i="4"/>
  <c r="J9" i="4"/>
  <c r="J11" i="4"/>
  <c r="J8" i="4"/>
  <c r="J13" i="4"/>
  <c r="O16" i="1" l="1"/>
  <c r="O15" i="1"/>
  <c r="L10" i="1"/>
  <c r="K10" i="1"/>
  <c r="K11" i="1"/>
  <c r="K12" i="1"/>
  <c r="K13" i="1"/>
  <c r="J5" i="5"/>
  <c r="L5" i="5"/>
  <c r="M5" i="5" s="1"/>
  <c r="L3" i="5"/>
  <c r="M3" i="5" s="1"/>
  <c r="J3" i="5"/>
  <c r="L11" i="5"/>
  <c r="M11" i="5" s="1"/>
  <c r="J11" i="5"/>
  <c r="J15" i="1"/>
  <c r="J16" i="1"/>
  <c r="K8" i="1"/>
  <c r="L8" i="1"/>
  <c r="J8" i="5"/>
  <c r="L8" i="5"/>
  <c r="M8" i="5" s="1"/>
  <c r="I13" i="5"/>
  <c r="J2" i="5"/>
  <c r="L2" i="5"/>
  <c r="I12" i="5"/>
  <c r="L7" i="1"/>
  <c r="K7" i="1"/>
  <c r="I15" i="1"/>
  <c r="L5" i="1"/>
  <c r="I16" i="1"/>
  <c r="K5" i="1"/>
  <c r="L10" i="5"/>
  <c r="M10" i="5" s="1"/>
  <c r="J10" i="5"/>
  <c r="L9" i="5"/>
  <c r="M9" i="5" s="1"/>
  <c r="J9" i="5"/>
  <c r="L14" i="1"/>
  <c r="K14" i="1"/>
  <c r="J7" i="5"/>
  <c r="L7" i="5"/>
  <c r="M7" i="5" s="1"/>
  <c r="L4" i="5"/>
  <c r="M4" i="5" s="1"/>
  <c r="J4" i="5"/>
  <c r="J6" i="5"/>
  <c r="L6" i="5"/>
  <c r="M6" i="5" s="1"/>
  <c r="I15" i="4"/>
  <c r="J5" i="4"/>
  <c r="M2" i="5" l="1"/>
  <c r="L13" i="5"/>
  <c r="L12" i="5"/>
  <c r="J13" i="5"/>
  <c r="J12" i="5"/>
  <c r="L16" i="1"/>
  <c r="L15" i="1"/>
  <c r="K15" i="1"/>
  <c r="H19" i="1" s="1"/>
  <c r="K16" i="1"/>
  <c r="J15" i="4"/>
  <c r="J18" i="5" l="1"/>
  <c r="H18" i="5"/>
  <c r="H19" i="5" s="1"/>
  <c r="H20" i="1"/>
  <c r="M12" i="5"/>
  <c r="M13" i="5"/>
  <c r="H21" i="5" l="1"/>
  <c r="M14" i="1"/>
  <c r="M5" i="1"/>
  <c r="M9" i="1"/>
  <c r="M10" i="1"/>
  <c r="M6" i="1"/>
  <c r="M13" i="1"/>
  <c r="M12" i="1"/>
  <c r="M7" i="1"/>
  <c r="M8" i="1"/>
  <c r="M11" i="1"/>
  <c r="N11" i="1" l="1"/>
  <c r="P11" i="1"/>
  <c r="Q11" i="1" s="1"/>
  <c r="N7" i="1"/>
  <c r="P7" i="1"/>
  <c r="Q7" i="1" s="1"/>
  <c r="N9" i="1"/>
  <c r="P9" i="1"/>
  <c r="Q9" i="1" s="1"/>
  <c r="N8" i="1"/>
  <c r="P8" i="1"/>
  <c r="Q8" i="1" s="1"/>
  <c r="P12" i="1"/>
  <c r="Q12" i="1" s="1"/>
  <c r="N12" i="1"/>
  <c r="N13" i="1"/>
  <c r="P13" i="1"/>
  <c r="Q13" i="1" s="1"/>
  <c r="P6" i="1"/>
  <c r="Q6" i="1" s="1"/>
  <c r="N6" i="1"/>
  <c r="N10" i="1"/>
  <c r="P10" i="1"/>
  <c r="Q10" i="1" s="1"/>
  <c r="M16" i="1"/>
  <c r="M15" i="1"/>
  <c r="P5" i="1"/>
  <c r="N5" i="1"/>
  <c r="N14" i="1"/>
  <c r="P14" i="1"/>
  <c r="Q14" i="1" s="1"/>
  <c r="H22" i="5"/>
  <c r="N16" i="1" l="1"/>
  <c r="N15" i="1"/>
  <c r="H21" i="1" s="1"/>
  <c r="H22" i="1" s="1"/>
  <c r="Q5" i="1"/>
  <c r="P15" i="1"/>
  <c r="P16" i="1"/>
  <c r="Q15" i="1" l="1"/>
  <c r="Q16" i="1"/>
  <c r="H23" i="1" l="1"/>
  <c r="H24" i="1"/>
  <c r="H30" i="1" l="1"/>
  <c r="H29" i="1"/>
  <c r="H26" i="1"/>
  <c r="H28" i="1"/>
  <c r="H27" i="1"/>
  <c r="H25" i="1"/>
</calcChain>
</file>

<file path=xl/sharedStrings.xml><?xml version="1.0" encoding="utf-8"?>
<sst xmlns="http://schemas.openxmlformats.org/spreadsheetml/2006/main" count="110" uniqueCount="72">
  <si>
    <t>N</t>
  </si>
  <si>
    <t>Sum</t>
  </si>
  <si>
    <t>Average</t>
  </si>
  <si>
    <t>xi-xbar</t>
  </si>
  <si>
    <t>y</t>
  </si>
  <si>
    <t>x</t>
  </si>
  <si>
    <t>yi-ybar</t>
  </si>
  <si>
    <t>beta1</t>
  </si>
  <si>
    <t>beta0</t>
  </si>
  <si>
    <t>(xi-xbar)*(yi-ybar)</t>
  </si>
  <si>
    <t>(xi-xbar)^2</t>
  </si>
  <si>
    <t>r-square</t>
  </si>
  <si>
    <t>yi_hat</t>
  </si>
  <si>
    <t>[(y_i_hat)-(y_bar)]^2</t>
  </si>
  <si>
    <t>[(y_i) -(y_bar)]^2</t>
  </si>
  <si>
    <t>r</t>
  </si>
  <si>
    <t>se(beta1)</t>
  </si>
  <si>
    <t>se(beta0)</t>
  </si>
  <si>
    <t>ui</t>
  </si>
  <si>
    <t>(ui)^2</t>
  </si>
  <si>
    <t>t-stat_beta1</t>
  </si>
  <si>
    <t>t-stat_beta0</t>
  </si>
  <si>
    <t>xi^2</t>
  </si>
  <si>
    <t>UB_beta1</t>
  </si>
  <si>
    <t>LB_beta1</t>
  </si>
  <si>
    <t>UB_beta0</t>
  </si>
  <si>
    <t>LB_beta0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</si>
  <si>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</si>
  <si>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</si>
  <si>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</si>
  <si>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</si>
  <si>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</si>
  <si>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</si>
  <si>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</si>
  <si>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</si>
  <si>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</si>
  <si>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</si>
  <si>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</si>
  <si>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</si>
  <si>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</si>
  <si>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</si>
  <si>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</si>
  <si>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</si>
  <si>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</si>
  <si>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</si>
  <si>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</si>
  <si>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</si>
  <si>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</si>
  <si>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</si>
  <si>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</si>
  <si>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</si>
  <si>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beta_0</t>
  </si>
  <si>
    <t>beta_1</t>
  </si>
  <si>
    <t>OLS</t>
  </si>
  <si>
    <t>y_hat</t>
  </si>
  <si>
    <t>(y_hat-y_bar)^2</t>
  </si>
  <si>
    <t>(yi-ybar)^2</t>
  </si>
  <si>
    <t>ui^2</t>
  </si>
  <si>
    <t>t-beta0</t>
  </si>
  <si>
    <t>t-beta1</t>
  </si>
  <si>
    <t>Total Sum</t>
  </si>
  <si>
    <t>Third Term</t>
  </si>
  <si>
    <t>First Term</t>
  </si>
  <si>
    <t>Second Term</t>
  </si>
  <si>
    <t>Stdev</t>
  </si>
  <si>
    <t>RESIDUAL OUTPUT</t>
  </si>
  <si>
    <t>Observation</t>
  </si>
  <si>
    <t>Predicted y</t>
  </si>
  <si>
    <t>Residuals</t>
  </si>
  <si>
    <t>Standard Residuals</t>
  </si>
  <si>
    <t>PROBABILITY OUTPUT</t>
  </si>
  <si>
    <t>Percentile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</si>
</sst>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2" borderId="0" applyNumberFormat="0" applyBorder="0" applyAlignment="0">
      <protection locked="0"/>
    </xf>
    <xf numFmtId="0" fontId="2" fillId="0" borderId="0" applyNumberFormat="0" applyFont="0" applyFill="0" applyBorder="0" applyAlignment="0">
      <protection locked="0"/>
    </xf>
  </cellStyleXfs>
  <cellXfs count="8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  <xf numFmtId="0" fontId="2" fillId="2" borderId="0" xfId="2">
      <protection locked="0"/>
    </xf>
    <xf numFmtId="0" fontId="0" fillId="0" borderId="0" xfId="0" applyNumberFormat="1" applyFont="1" applyFill="1" applyAlignment="1"/>
    <xf numFmtId="43" fontId="0" fillId="0" borderId="0" xfId="1" applyFont="1"/>
  </cellXfs>
  <cellStyles count="4">
    <cellStyle name="Adjustable" xfId="3" xr:uid="{C5AC04DE-4AD0-43AA-95C0-6633CDB6C3CB}"/>
    <cellStyle name="Best" xfId="2" xr:uid="{19F21CEE-D11A-4720-B407-2636F69B4F52}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Base_MOM!$C$2:$C$11</c:f>
              <c:numCache>
                <c:formatCode>General</c:formatCode>
                <c:ptCount val="10"/>
                <c:pt idx="0">
                  <c:v>80</c:v>
                </c:pt>
                <c:pt idx="1">
                  <c:v>100</c:v>
                </c:pt>
                <c:pt idx="2">
                  <c:v>120</c:v>
                </c:pt>
                <c:pt idx="3">
                  <c:v>140</c:v>
                </c:pt>
                <c:pt idx="4">
                  <c:v>160</c:v>
                </c:pt>
                <c:pt idx="5">
                  <c:v>180</c:v>
                </c:pt>
                <c:pt idx="6">
                  <c:v>200</c:v>
                </c:pt>
                <c:pt idx="7">
                  <c:v>220</c:v>
                </c:pt>
                <c:pt idx="8">
                  <c:v>240</c:v>
                </c:pt>
                <c:pt idx="9">
                  <c:v>260</c:v>
                </c:pt>
              </c:numCache>
            </c:numRef>
          </c:xVal>
          <c:yVal>
            <c:numRef>
              <c:f>Excel_results!$C$25:$C$34</c:f>
              <c:numCache>
                <c:formatCode>General</c:formatCode>
                <c:ptCount val="10"/>
                <c:pt idx="0">
                  <c:v>4.8181818181818414</c:v>
                </c:pt>
                <c:pt idx="1">
                  <c:v>-10.363636363636346</c:v>
                </c:pt>
                <c:pt idx="2">
                  <c:v>4.4545454545454675</c:v>
                </c:pt>
                <c:pt idx="3">
                  <c:v>-0.72727272727271952</c:v>
                </c:pt>
                <c:pt idx="4">
                  <c:v>4.0909090909090935</c:v>
                </c:pt>
                <c:pt idx="5">
                  <c:v>-1.0909090909090935</c:v>
                </c:pt>
                <c:pt idx="6">
                  <c:v>-6.2727272727272805</c:v>
                </c:pt>
                <c:pt idx="7">
                  <c:v>3.5454545454545325</c:v>
                </c:pt>
                <c:pt idx="8">
                  <c:v>8.363636363636374</c:v>
                </c:pt>
                <c:pt idx="9">
                  <c:v>-6.818181818181813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13-4790-B503-A1F917A50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5335168"/>
        <c:axId val="755336480"/>
      </c:scatterChart>
      <c:valAx>
        <c:axId val="75533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55336480"/>
        <c:crosses val="autoZero"/>
        <c:crossBetween val="midCat"/>
      </c:valAx>
      <c:valAx>
        <c:axId val="7553364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55335168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Base_MOM!$C$2:$C$11</c:f>
              <c:numCache>
                <c:formatCode>General</c:formatCode>
                <c:ptCount val="10"/>
                <c:pt idx="0">
                  <c:v>80</c:v>
                </c:pt>
                <c:pt idx="1">
                  <c:v>100</c:v>
                </c:pt>
                <c:pt idx="2">
                  <c:v>120</c:v>
                </c:pt>
                <c:pt idx="3">
                  <c:v>140</c:v>
                </c:pt>
                <c:pt idx="4">
                  <c:v>160</c:v>
                </c:pt>
                <c:pt idx="5">
                  <c:v>180</c:v>
                </c:pt>
                <c:pt idx="6">
                  <c:v>200</c:v>
                </c:pt>
                <c:pt idx="7">
                  <c:v>220</c:v>
                </c:pt>
                <c:pt idx="8">
                  <c:v>240</c:v>
                </c:pt>
                <c:pt idx="9">
                  <c:v>260</c:v>
                </c:pt>
              </c:numCache>
            </c:numRef>
          </c:xVal>
          <c:yVal>
            <c:numRef>
              <c:f>Base_MOM!$B$2:$B$11</c:f>
              <c:numCache>
                <c:formatCode>General</c:formatCode>
                <c:ptCount val="10"/>
                <c:pt idx="0">
                  <c:v>70</c:v>
                </c:pt>
                <c:pt idx="1">
                  <c:v>65</c:v>
                </c:pt>
                <c:pt idx="2">
                  <c:v>90</c:v>
                </c:pt>
                <c:pt idx="3">
                  <c:v>95</c:v>
                </c:pt>
                <c:pt idx="4">
                  <c:v>110</c:v>
                </c:pt>
                <c:pt idx="5">
                  <c:v>115</c:v>
                </c:pt>
                <c:pt idx="6">
                  <c:v>120</c:v>
                </c:pt>
                <c:pt idx="7">
                  <c:v>140</c:v>
                </c:pt>
                <c:pt idx="8">
                  <c:v>155</c:v>
                </c:pt>
                <c:pt idx="9">
                  <c:v>150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3D7-4A04-A954-42ACBEB1D333}"/>
            </c:ext>
          </c:extLst>
        </c:ser>
        <c:ser>
          <c:idx val="1"/>
          <c:order val="1"/>
          <c:tx>
            <c:v>Predicted y</c:v>
          </c:tx>
          <c:spPr>
            <a:ln w="19050">
              <a:noFill/>
            </a:ln>
          </c:spPr>
          <c:xVal>
            <c:numRef>
              <c:f>Base_MOM!$C$2:$C$11</c:f>
              <c:numCache>
                <c:formatCode>General</c:formatCode>
                <c:ptCount val="10"/>
                <c:pt idx="0">
                  <c:v>80</c:v>
                </c:pt>
                <c:pt idx="1">
                  <c:v>100</c:v>
                </c:pt>
                <c:pt idx="2">
                  <c:v>120</c:v>
                </c:pt>
                <c:pt idx="3">
                  <c:v>140</c:v>
                </c:pt>
                <c:pt idx="4">
                  <c:v>160</c:v>
                </c:pt>
                <c:pt idx="5">
                  <c:v>180</c:v>
                </c:pt>
                <c:pt idx="6">
                  <c:v>200</c:v>
                </c:pt>
                <c:pt idx="7">
                  <c:v>220</c:v>
                </c:pt>
                <c:pt idx="8">
                  <c:v>240</c:v>
                </c:pt>
                <c:pt idx="9">
                  <c:v>260</c:v>
                </c:pt>
              </c:numCache>
            </c:numRef>
          </c:xVal>
          <c:yVal>
            <c:numRef>
              <c:f>Excel_results!$B$25:$B$34</c:f>
              <c:numCache>
                <c:formatCode>General</c:formatCode>
                <c:ptCount val="10"/>
                <c:pt idx="0">
                  <c:v>65.181818181818159</c:v>
                </c:pt>
                <c:pt idx="1">
                  <c:v>75.363636363636346</c:v>
                </c:pt>
                <c:pt idx="2">
                  <c:v>85.545454545454533</c:v>
                </c:pt>
                <c:pt idx="3">
                  <c:v>95.72727272727272</c:v>
                </c:pt>
                <c:pt idx="4">
                  <c:v>105.90909090909091</c:v>
                </c:pt>
                <c:pt idx="5">
                  <c:v>116.09090909090909</c:v>
                </c:pt>
                <c:pt idx="6">
                  <c:v>126.27272727272728</c:v>
                </c:pt>
                <c:pt idx="7">
                  <c:v>136.45454545454547</c:v>
                </c:pt>
                <c:pt idx="8">
                  <c:v>146.63636363636363</c:v>
                </c:pt>
                <c:pt idx="9">
                  <c:v>156.81818181818181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3D7-4A04-A954-42ACBEB1D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930904"/>
        <c:axId val="749931560"/>
      </c:scatterChart>
      <c:valAx>
        <c:axId val="749930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49931560"/>
        <c:crosses val="autoZero"/>
        <c:crossBetween val="midCat"/>
      </c:valAx>
      <c:valAx>
        <c:axId val="749931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49930904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Normal Probability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Excel_results!$F$25:$F$34</c:f>
              <c:numCache>
                <c:formatCode>General</c:formatCode>
                <c:ptCount val="10"/>
                <c:pt idx="0">
                  <c:v>5</c:v>
                </c:pt>
                <c:pt idx="1">
                  <c:v>15</c:v>
                </c:pt>
                <c:pt idx="2">
                  <c:v>25</c:v>
                </c:pt>
                <c:pt idx="3">
                  <c:v>35</c:v>
                </c:pt>
                <c:pt idx="4">
                  <c:v>45</c:v>
                </c:pt>
                <c:pt idx="5">
                  <c:v>55</c:v>
                </c:pt>
                <c:pt idx="6">
                  <c:v>65</c:v>
                </c:pt>
                <c:pt idx="7">
                  <c:v>75</c:v>
                </c:pt>
                <c:pt idx="8">
                  <c:v>85</c:v>
                </c:pt>
                <c:pt idx="9">
                  <c:v>95</c:v>
                </c:pt>
              </c:numCache>
            </c:numRef>
          </c:xVal>
          <c:yVal>
            <c:numRef>
              <c:f>Excel_results!$G$25:$G$34</c:f>
              <c:numCache>
                <c:formatCode>General</c:formatCode>
                <c:ptCount val="10"/>
                <c:pt idx="0">
                  <c:v>65</c:v>
                </c:pt>
                <c:pt idx="1">
                  <c:v>70</c:v>
                </c:pt>
                <c:pt idx="2">
                  <c:v>90</c:v>
                </c:pt>
                <c:pt idx="3">
                  <c:v>95</c:v>
                </c:pt>
                <c:pt idx="4">
                  <c:v>110</c:v>
                </c:pt>
                <c:pt idx="5">
                  <c:v>115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  <c:pt idx="9">
                  <c:v>155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A2-4927-885D-289A68682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928936"/>
        <c:axId val="749929264"/>
      </c:scatterChart>
      <c:valAx>
        <c:axId val="749928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Percentile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49929264"/>
        <c:crosses val="autoZero"/>
        <c:crossBetween val="midCat"/>
      </c:valAx>
      <c:valAx>
        <c:axId val="7499292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49928936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22013</xdr:colOff>
      <xdr:row>2</xdr:row>
      <xdr:rowOff>19050</xdr:rowOff>
    </xdr:from>
    <xdr:to>
      <xdr:col>27</xdr:col>
      <xdr:colOff>154234</xdr:colOff>
      <xdr:row>17</xdr:row>
      <xdr:rowOff>171450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481"/>
        <a:stretch/>
      </xdr:blipFill>
      <xdr:spPr>
        <a:xfrm>
          <a:off x="13604663" y="400050"/>
          <a:ext cx="5009021" cy="3009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129722</xdr:colOff>
      <xdr:row>13</xdr:row>
      <xdr:rowOff>12247</xdr:rowOff>
    </xdr:from>
    <xdr:to>
      <xdr:col>16</xdr:col>
      <xdr:colOff>238914</xdr:colOff>
      <xdr:row>30</xdr:row>
      <xdr:rowOff>99560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481"/>
        <a:stretch/>
      </xdr:blipFill>
      <xdr:spPr>
        <a:xfrm>
          <a:off x="5844722" y="2417990"/>
          <a:ext cx="5552049" cy="32332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0</xdr:row>
      <xdr:rowOff>180975</xdr:rowOff>
    </xdr:from>
    <xdr:to>
      <xdr:col>15</xdr:col>
      <xdr:colOff>238125</xdr:colOff>
      <xdr:row>10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0AE41A-1974-4DD5-932F-5C9D1C58C9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380999</xdr:colOff>
      <xdr:row>15</xdr:row>
      <xdr:rowOff>161924</xdr:rowOff>
    </xdr:from>
    <xdr:to>
      <xdr:col>19</xdr:col>
      <xdr:colOff>381000</xdr:colOff>
      <xdr:row>37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2EDE8F1-2B78-4A5C-B062-5ADEF6C902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171450</xdr:colOff>
      <xdr:row>7</xdr:row>
      <xdr:rowOff>190500</xdr:rowOff>
    </xdr:from>
    <xdr:to>
      <xdr:col>24</xdr:col>
      <xdr:colOff>171450</xdr:colOff>
      <xdr:row>17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47F1F3A-38E9-4813-8445-3D288A5EAD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4:R30"/>
  <sheetViews>
    <sheetView workbookViewId="0">
      <selection activeCell="H19" sqref="H19"/>
    </sheetView>
  </sheetViews>
  <sheetFormatPr defaultRowHeight="15" x14ac:dyDescent="0.25"/>
  <cols>
    <col min="7" max="7" width="11.7109375" bestFit="1" customWidth="1"/>
    <col min="11" max="11" width="17.42578125" bestFit="1" customWidth="1"/>
    <col min="12" max="12" width="10.5703125" bestFit="1" customWidth="1"/>
    <col min="14" max="14" width="19.5703125" bestFit="1" customWidth="1"/>
    <col min="15" max="15" width="16.42578125" bestFit="1" customWidth="1"/>
  </cols>
  <sheetData>
    <row r="4" spans="6:18" x14ac:dyDescent="0.25">
      <c r="F4" t="s">
        <v>0</v>
      </c>
      <c r="G4" t="s">
        <v>4</v>
      </c>
      <c r="H4" t="s">
        <v>5</v>
      </c>
      <c r="I4" t="s">
        <v>3</v>
      </c>
      <c r="J4" t="s">
        <v>6</v>
      </c>
      <c r="K4" t="s">
        <v>9</v>
      </c>
      <c r="L4" t="s">
        <v>10</v>
      </c>
      <c r="M4" t="s">
        <v>12</v>
      </c>
      <c r="N4" t="s">
        <v>13</v>
      </c>
      <c r="O4" t="s">
        <v>14</v>
      </c>
      <c r="P4" t="s">
        <v>18</v>
      </c>
      <c r="Q4" t="s">
        <v>19</v>
      </c>
      <c r="R4" t="s">
        <v>22</v>
      </c>
    </row>
    <row r="5" spans="6:18" x14ac:dyDescent="0.25">
      <c r="F5">
        <v>1</v>
      </c>
      <c r="G5">
        <v>70</v>
      </c>
      <c r="H5">
        <v>80</v>
      </c>
      <c r="I5">
        <f>H5-$H$16</f>
        <v>-90</v>
      </c>
      <c r="J5">
        <f>G5-$G$16</f>
        <v>-41</v>
      </c>
      <c r="K5">
        <f>I5*J5</f>
        <v>3690</v>
      </c>
      <c r="L5">
        <f>I5^2</f>
        <v>8100</v>
      </c>
      <c r="M5">
        <f>$H$20+($H$19*H5)</f>
        <v>65.181818181818187</v>
      </c>
      <c r="N5">
        <f>(M5-$G$16)^2</f>
        <v>2099.3057851239664</v>
      </c>
      <c r="O5">
        <f>(G5-$G$16)^2</f>
        <v>1681</v>
      </c>
      <c r="P5">
        <f>G5-M5</f>
        <v>4.818181818181813</v>
      </c>
      <c r="Q5">
        <f>P5^2</f>
        <v>23.214876033057802</v>
      </c>
      <c r="R5">
        <f>H5^2</f>
        <v>6400</v>
      </c>
    </row>
    <row r="6" spans="6:18" x14ac:dyDescent="0.25">
      <c r="F6">
        <v>2</v>
      </c>
      <c r="G6">
        <v>65</v>
      </c>
      <c r="H6">
        <v>100</v>
      </c>
      <c r="I6">
        <f t="shared" ref="I6:I14" si="0">H6-$H$16</f>
        <v>-70</v>
      </c>
      <c r="J6">
        <f t="shared" ref="J6:J14" si="1">G6-$G$16</f>
        <v>-46</v>
      </c>
      <c r="K6">
        <f t="shared" ref="K6:K14" si="2">I6*J6</f>
        <v>3220</v>
      </c>
      <c r="L6">
        <f t="shared" ref="L6:L14" si="3">I6^2</f>
        <v>4900</v>
      </c>
      <c r="M6">
        <f t="shared" ref="M6:M14" si="4">$H$20+($H$19*H6)</f>
        <v>75.363636363636374</v>
      </c>
      <c r="N6">
        <f t="shared" ref="N6:N14" si="5">(M6-$G$16)^2</f>
        <v>1269.9504132231398</v>
      </c>
      <c r="O6">
        <f t="shared" ref="O6:O14" si="6">(G6-$G$16)^2</f>
        <v>2116</v>
      </c>
      <c r="P6">
        <f t="shared" ref="P6:P14" si="7">G6-M6</f>
        <v>-10.363636363636374</v>
      </c>
      <c r="Q6">
        <f t="shared" ref="Q6:Q14" si="8">P6^2</f>
        <v>107.40495867768617</v>
      </c>
      <c r="R6">
        <f t="shared" ref="R6:R14" si="9">H6^2</f>
        <v>10000</v>
      </c>
    </row>
    <row r="7" spans="6:18" x14ac:dyDescent="0.25">
      <c r="F7">
        <v>3</v>
      </c>
      <c r="G7">
        <v>90</v>
      </c>
      <c r="H7">
        <v>120</v>
      </c>
      <c r="I7">
        <f t="shared" si="0"/>
        <v>-50</v>
      </c>
      <c r="J7">
        <f t="shared" si="1"/>
        <v>-21</v>
      </c>
      <c r="K7">
        <f t="shared" si="2"/>
        <v>1050</v>
      </c>
      <c r="L7">
        <f t="shared" si="3"/>
        <v>2500</v>
      </c>
      <c r="M7">
        <f t="shared" si="4"/>
        <v>85.545454545454561</v>
      </c>
      <c r="N7">
        <f t="shared" si="5"/>
        <v>647.93388429751985</v>
      </c>
      <c r="O7">
        <f t="shared" si="6"/>
        <v>441</v>
      </c>
      <c r="P7">
        <f t="shared" si="7"/>
        <v>4.454545454545439</v>
      </c>
      <c r="Q7">
        <f t="shared" si="8"/>
        <v>19.842975206611431</v>
      </c>
      <c r="R7">
        <f t="shared" si="9"/>
        <v>14400</v>
      </c>
    </row>
    <row r="8" spans="6:18" x14ac:dyDescent="0.25">
      <c r="F8">
        <v>4</v>
      </c>
      <c r="G8">
        <v>95</v>
      </c>
      <c r="H8">
        <v>140</v>
      </c>
      <c r="I8">
        <f t="shared" si="0"/>
        <v>-30</v>
      </c>
      <c r="J8">
        <f t="shared" si="1"/>
        <v>-16</v>
      </c>
      <c r="K8">
        <f t="shared" si="2"/>
        <v>480</v>
      </c>
      <c r="L8">
        <f t="shared" si="3"/>
        <v>900</v>
      </c>
      <c r="M8">
        <f t="shared" si="4"/>
        <v>95.727272727272734</v>
      </c>
      <c r="N8">
        <f t="shared" si="5"/>
        <v>233.25619834710724</v>
      </c>
      <c r="O8">
        <f t="shared" si="6"/>
        <v>256</v>
      </c>
      <c r="P8">
        <f t="shared" si="7"/>
        <v>-0.72727272727273373</v>
      </c>
      <c r="Q8">
        <f t="shared" si="8"/>
        <v>0.52892561983472008</v>
      </c>
      <c r="R8">
        <f t="shared" si="9"/>
        <v>19600</v>
      </c>
    </row>
    <row r="9" spans="6:18" x14ac:dyDescent="0.25">
      <c r="F9">
        <v>5</v>
      </c>
      <c r="G9">
        <v>110</v>
      </c>
      <c r="H9">
        <v>160</v>
      </c>
      <c r="I9">
        <f t="shared" si="0"/>
        <v>-10</v>
      </c>
      <c r="J9">
        <f t="shared" si="1"/>
        <v>-1</v>
      </c>
      <c r="K9">
        <f t="shared" si="2"/>
        <v>10</v>
      </c>
      <c r="L9">
        <f t="shared" si="3"/>
        <v>100</v>
      </c>
      <c r="M9">
        <f t="shared" si="4"/>
        <v>105.90909090909091</v>
      </c>
      <c r="N9">
        <f t="shared" si="5"/>
        <v>25.917355371900854</v>
      </c>
      <c r="O9">
        <f t="shared" si="6"/>
        <v>1</v>
      </c>
      <c r="P9">
        <f t="shared" si="7"/>
        <v>4.0909090909090935</v>
      </c>
      <c r="Q9">
        <f t="shared" si="8"/>
        <v>16.735537190082667</v>
      </c>
      <c r="R9">
        <f t="shared" si="9"/>
        <v>25600</v>
      </c>
    </row>
    <row r="10" spans="6:18" x14ac:dyDescent="0.25">
      <c r="F10">
        <v>6</v>
      </c>
      <c r="G10">
        <v>115</v>
      </c>
      <c r="H10">
        <v>180</v>
      </c>
      <c r="I10">
        <f t="shared" si="0"/>
        <v>10</v>
      </c>
      <c r="J10">
        <f t="shared" si="1"/>
        <v>4</v>
      </c>
      <c r="K10">
        <f t="shared" si="2"/>
        <v>40</v>
      </c>
      <c r="L10">
        <f t="shared" si="3"/>
        <v>100</v>
      </c>
      <c r="M10">
        <f t="shared" si="4"/>
        <v>116.09090909090909</v>
      </c>
      <c r="N10">
        <f t="shared" si="5"/>
        <v>25.917355371900854</v>
      </c>
      <c r="O10">
        <f t="shared" si="6"/>
        <v>16</v>
      </c>
      <c r="P10">
        <f t="shared" si="7"/>
        <v>-1.0909090909090935</v>
      </c>
      <c r="Q10">
        <f t="shared" si="8"/>
        <v>1.1900826446281048</v>
      </c>
      <c r="R10">
        <f t="shared" si="9"/>
        <v>32400</v>
      </c>
    </row>
    <row r="11" spans="6:18" x14ac:dyDescent="0.25">
      <c r="F11">
        <v>7</v>
      </c>
      <c r="G11">
        <v>120</v>
      </c>
      <c r="H11">
        <v>200</v>
      </c>
      <c r="I11">
        <f t="shared" si="0"/>
        <v>30</v>
      </c>
      <c r="J11">
        <f t="shared" si="1"/>
        <v>9</v>
      </c>
      <c r="K11">
        <f t="shared" si="2"/>
        <v>270</v>
      </c>
      <c r="L11">
        <f t="shared" si="3"/>
        <v>900</v>
      </c>
      <c r="M11">
        <f t="shared" si="4"/>
        <v>126.27272727272728</v>
      </c>
      <c r="N11">
        <f t="shared" si="5"/>
        <v>233.25619834710767</v>
      </c>
      <c r="O11">
        <f t="shared" si="6"/>
        <v>81</v>
      </c>
      <c r="P11">
        <f t="shared" si="7"/>
        <v>-6.2727272727272805</v>
      </c>
      <c r="Q11">
        <f t="shared" si="8"/>
        <v>39.347107438016629</v>
      </c>
      <c r="R11">
        <f t="shared" si="9"/>
        <v>40000</v>
      </c>
    </row>
    <row r="12" spans="6:18" x14ac:dyDescent="0.25">
      <c r="F12">
        <v>8</v>
      </c>
      <c r="G12">
        <v>140</v>
      </c>
      <c r="H12">
        <v>220</v>
      </c>
      <c r="I12">
        <f t="shared" si="0"/>
        <v>50</v>
      </c>
      <c r="J12">
        <f t="shared" si="1"/>
        <v>29</v>
      </c>
      <c r="K12">
        <f t="shared" si="2"/>
        <v>1450</v>
      </c>
      <c r="L12">
        <f t="shared" si="3"/>
        <v>2500</v>
      </c>
      <c r="M12">
        <f t="shared" si="4"/>
        <v>136.45454545454544</v>
      </c>
      <c r="N12">
        <f t="shared" si="5"/>
        <v>647.93388429751985</v>
      </c>
      <c r="O12">
        <f t="shared" si="6"/>
        <v>841</v>
      </c>
      <c r="P12">
        <f t="shared" si="7"/>
        <v>3.545454545454561</v>
      </c>
      <c r="Q12">
        <f t="shared" si="8"/>
        <v>12.570247933884408</v>
      </c>
      <c r="R12">
        <f t="shared" si="9"/>
        <v>48400</v>
      </c>
    </row>
    <row r="13" spans="6:18" x14ac:dyDescent="0.25">
      <c r="F13">
        <v>9</v>
      </c>
      <c r="G13">
        <v>155</v>
      </c>
      <c r="H13">
        <v>240</v>
      </c>
      <c r="I13">
        <f t="shared" si="0"/>
        <v>70</v>
      </c>
      <c r="J13">
        <f t="shared" si="1"/>
        <v>44</v>
      </c>
      <c r="K13">
        <f t="shared" si="2"/>
        <v>3080</v>
      </c>
      <c r="L13">
        <f t="shared" si="3"/>
        <v>4900</v>
      </c>
      <c r="M13">
        <f t="shared" si="4"/>
        <v>146.63636363636363</v>
      </c>
      <c r="N13">
        <f t="shared" si="5"/>
        <v>1269.9504132231398</v>
      </c>
      <c r="O13">
        <f t="shared" si="6"/>
        <v>1936</v>
      </c>
      <c r="P13">
        <f t="shared" si="7"/>
        <v>8.363636363636374</v>
      </c>
      <c r="Q13">
        <f t="shared" si="8"/>
        <v>69.950413223140671</v>
      </c>
      <c r="R13">
        <f t="shared" si="9"/>
        <v>57600</v>
      </c>
    </row>
    <row r="14" spans="6:18" x14ac:dyDescent="0.25">
      <c r="F14">
        <v>10</v>
      </c>
      <c r="G14">
        <v>150</v>
      </c>
      <c r="H14">
        <v>260</v>
      </c>
      <c r="I14">
        <f t="shared" si="0"/>
        <v>90</v>
      </c>
      <c r="J14">
        <f t="shared" si="1"/>
        <v>39</v>
      </c>
      <c r="K14">
        <f t="shared" si="2"/>
        <v>3510</v>
      </c>
      <c r="L14">
        <f t="shared" si="3"/>
        <v>8100</v>
      </c>
      <c r="M14">
        <f t="shared" si="4"/>
        <v>156.81818181818181</v>
      </c>
      <c r="N14">
        <f t="shared" si="5"/>
        <v>2099.3057851239664</v>
      </c>
      <c r="O14">
        <f t="shared" si="6"/>
        <v>1521</v>
      </c>
      <c r="P14">
        <f t="shared" si="7"/>
        <v>-6.818181818181813</v>
      </c>
      <c r="Q14">
        <f t="shared" si="8"/>
        <v>46.487603305785051</v>
      </c>
      <c r="R14">
        <f t="shared" si="9"/>
        <v>67600</v>
      </c>
    </row>
    <row r="15" spans="6:18" x14ac:dyDescent="0.25">
      <c r="F15" t="s">
        <v>1</v>
      </c>
      <c r="G15">
        <f>SUM(G5:G14)</f>
        <v>1110</v>
      </c>
      <c r="H15">
        <f>SUM(H5:H14)</f>
        <v>1700</v>
      </c>
      <c r="I15">
        <f t="shared" ref="I15:L15" si="10">SUM(I5:I14)</f>
        <v>0</v>
      </c>
      <c r="J15">
        <f t="shared" si="10"/>
        <v>0</v>
      </c>
      <c r="K15">
        <f t="shared" si="10"/>
        <v>16800</v>
      </c>
      <c r="L15">
        <f t="shared" si="10"/>
        <v>33000</v>
      </c>
      <c r="M15">
        <f t="shared" ref="M15" si="11">SUM(M5:M14)</f>
        <v>1110</v>
      </c>
      <c r="N15">
        <f t="shared" ref="N15" si="12">SUM(N5:N14)</f>
        <v>8552.7272727272684</v>
      </c>
      <c r="O15">
        <f t="shared" ref="O15" si="13">SUM(O5:O14)</f>
        <v>8890</v>
      </c>
      <c r="P15">
        <f t="shared" ref="P15" si="14">SUM(P5:P14)</f>
        <v>-1.4210854715202004E-14</v>
      </c>
      <c r="Q15">
        <f t="shared" ref="Q15:R15" si="15">SUM(Q5:Q14)</f>
        <v>337.27272727272765</v>
      </c>
      <c r="R15">
        <f t="shared" si="15"/>
        <v>322000</v>
      </c>
    </row>
    <row r="16" spans="6:18" x14ac:dyDescent="0.25">
      <c r="F16" t="s">
        <v>2</v>
      </c>
      <c r="G16">
        <f>AVERAGE(G5:G14)</f>
        <v>111</v>
      </c>
      <c r="H16">
        <f>AVERAGE(H5:H14)</f>
        <v>170</v>
      </c>
      <c r="I16">
        <f t="shared" ref="I16:L16" si="16">AVERAGE(I5:I14)</f>
        <v>0</v>
      </c>
      <c r="J16">
        <f t="shared" si="16"/>
        <v>0</v>
      </c>
      <c r="K16">
        <f t="shared" si="16"/>
        <v>1680</v>
      </c>
      <c r="L16">
        <f t="shared" si="16"/>
        <v>3300</v>
      </c>
      <c r="M16">
        <f t="shared" ref="M16:O16" si="17">AVERAGE(M5:M14)</f>
        <v>111</v>
      </c>
      <c r="N16">
        <f t="shared" si="17"/>
        <v>855.2727272727268</v>
      </c>
      <c r="O16">
        <f t="shared" si="17"/>
        <v>889</v>
      </c>
      <c r="P16">
        <f t="shared" ref="P16:Q16" si="18">AVERAGE(P5:P14)</f>
        <v>-1.4210854715202005E-15</v>
      </c>
      <c r="Q16">
        <f t="shared" si="18"/>
        <v>33.727272727272762</v>
      </c>
      <c r="R16">
        <f t="shared" ref="R16" si="19">AVERAGE(R5:R14)</f>
        <v>32200</v>
      </c>
    </row>
    <row r="19" spans="7:8" x14ac:dyDescent="0.25">
      <c r="G19" t="s">
        <v>7</v>
      </c>
      <c r="H19">
        <f>K15/L15</f>
        <v>0.50909090909090904</v>
      </c>
    </row>
    <row r="20" spans="7:8" x14ac:dyDescent="0.25">
      <c r="G20" t="s">
        <v>8</v>
      </c>
      <c r="H20">
        <f>G16-(H19*H16)</f>
        <v>24.454545454545467</v>
      </c>
    </row>
    <row r="21" spans="7:8" x14ac:dyDescent="0.25">
      <c r="G21" t="s">
        <v>11</v>
      </c>
      <c r="H21">
        <f>N15/O15</f>
        <v>0.96206156048675684</v>
      </c>
    </row>
    <row r="22" spans="7:8" x14ac:dyDescent="0.25">
      <c r="G22" t="s">
        <v>15</v>
      </c>
      <c r="H22">
        <f>SQRT(H21)</f>
        <v>0.98084736859857902</v>
      </c>
    </row>
    <row r="23" spans="7:8" x14ac:dyDescent="0.25">
      <c r="G23" t="s">
        <v>16</v>
      </c>
      <c r="H23">
        <f>SQRT((Q15/(F14-2))/L15)</f>
        <v>3.5742806400258953E-2</v>
      </c>
    </row>
    <row r="24" spans="7:8" x14ac:dyDescent="0.25">
      <c r="G24" t="s">
        <v>17</v>
      </c>
      <c r="H24">
        <f>SQRT((Q15/(F14-2))*R15/(F14*L15))</f>
        <v>6.4138172987385476</v>
      </c>
    </row>
    <row r="25" spans="7:8" x14ac:dyDescent="0.25">
      <c r="G25" t="s">
        <v>20</v>
      </c>
      <c r="H25">
        <f>H19/H23</f>
        <v>14.243171154216384</v>
      </c>
    </row>
    <row r="26" spans="7:8" x14ac:dyDescent="0.25">
      <c r="G26" t="s">
        <v>21</v>
      </c>
      <c r="H26">
        <f>H20/H24</f>
        <v>3.8127910907838181</v>
      </c>
    </row>
    <row r="27" spans="7:8" x14ac:dyDescent="0.25">
      <c r="G27" t="s">
        <v>23</v>
      </c>
      <c r="H27">
        <f>H19+(2.06*H23)</f>
        <v>0.5827210902754425</v>
      </c>
    </row>
    <row r="28" spans="7:8" x14ac:dyDescent="0.25">
      <c r="G28" t="s">
        <v>24</v>
      </c>
      <c r="H28">
        <f>H19-(2.06*H23)</f>
        <v>0.43546072790637558</v>
      </c>
    </row>
    <row r="29" spans="7:8" x14ac:dyDescent="0.25">
      <c r="G29" t="s">
        <v>25</v>
      </c>
      <c r="H29">
        <f>H20+(2.06*H24)</f>
        <v>37.667009089946873</v>
      </c>
    </row>
    <row r="30" spans="7:8" x14ac:dyDescent="0.25">
      <c r="G30" t="s">
        <v>26</v>
      </c>
      <c r="H30">
        <f>H20-(2.06*H24)</f>
        <v>11.24208181914406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7"/>
  <sheetViews>
    <sheetView tabSelected="1" topLeftCell="A7" zoomScale="145" zoomScaleNormal="145" workbookViewId="0">
      <selection activeCell="H25" sqref="H25"/>
    </sheetView>
  </sheetViews>
  <sheetFormatPr defaultRowHeight="15" x14ac:dyDescent="0.25"/>
  <cols>
    <col min="7" max="7" width="17.42578125" bestFit="1" customWidth="1"/>
    <col min="8" max="8" width="12" bestFit="1" customWidth="1"/>
    <col min="10" max="10" width="15" bestFit="1" customWidth="1"/>
    <col min="11" max="11" width="10.5703125" bestFit="1" customWidth="1"/>
  </cols>
  <sheetData>
    <row r="1" spans="1:14" x14ac:dyDescent="0.25">
      <c r="A1" t="s">
        <v>0</v>
      </c>
      <c r="B1" t="s">
        <v>4</v>
      </c>
      <c r="C1" t="s">
        <v>5</v>
      </c>
      <c r="D1" t="s">
        <v>53</v>
      </c>
      <c r="E1" t="s">
        <v>3</v>
      </c>
      <c r="F1" t="s">
        <v>6</v>
      </c>
      <c r="G1" t="s">
        <v>9</v>
      </c>
      <c r="H1" t="s">
        <v>10</v>
      </c>
      <c r="I1" t="s">
        <v>54</v>
      </c>
      <c r="J1" t="s">
        <v>55</v>
      </c>
      <c r="K1" t="s">
        <v>56</v>
      </c>
      <c r="L1" t="s">
        <v>18</v>
      </c>
      <c r="M1" t="s">
        <v>57</v>
      </c>
      <c r="N1" t="s">
        <v>22</v>
      </c>
    </row>
    <row r="2" spans="1:14" x14ac:dyDescent="0.25">
      <c r="A2">
        <v>1</v>
      </c>
      <c r="B2">
        <v>70</v>
      </c>
      <c r="C2">
        <v>80</v>
      </c>
      <c r="D2">
        <f t="shared" ref="D2:D11" si="0">(B2-$B$15-($C$15*C2))^2</f>
        <v>23.209629099289455</v>
      </c>
      <c r="E2">
        <f>C2-$C$13</f>
        <v>-90</v>
      </c>
      <c r="F2">
        <f>B2-$B$13</f>
        <v>-41</v>
      </c>
      <c r="G2">
        <f>E2*F2</f>
        <v>3690</v>
      </c>
      <c r="H2">
        <f>E2^2</f>
        <v>8100</v>
      </c>
      <c r="I2">
        <f>$H$17+($H$16*C2)</f>
        <v>65.181818181818187</v>
      </c>
      <c r="J2">
        <f>(I2-$B$13)^2</f>
        <v>2099.3057851239664</v>
      </c>
      <c r="K2">
        <f>(B2-$B$13)^2</f>
        <v>1681</v>
      </c>
      <c r="L2">
        <f>I2-B2</f>
        <v>-4.818181818181813</v>
      </c>
      <c r="M2">
        <f>L2^2</f>
        <v>23.214876033057802</v>
      </c>
      <c r="N2">
        <f>C2^2</f>
        <v>6400</v>
      </c>
    </row>
    <row r="3" spans="1:14" x14ac:dyDescent="0.25">
      <c r="A3">
        <v>2</v>
      </c>
      <c r="B3">
        <v>65</v>
      </c>
      <c r="C3">
        <v>100</v>
      </c>
      <c r="D3">
        <f t="shared" si="0"/>
        <v>107.41457774334252</v>
      </c>
      <c r="E3">
        <f t="shared" ref="E3:E11" si="1">C3-$C$13</f>
        <v>-70</v>
      </c>
      <c r="F3">
        <f t="shared" ref="F3:F11" si="2">B3-$B$13</f>
        <v>-46</v>
      </c>
      <c r="G3">
        <f t="shared" ref="G3:G11" si="3">E3*F3</f>
        <v>3220</v>
      </c>
      <c r="H3">
        <f t="shared" ref="H3:H11" si="4">E3^2</f>
        <v>4900</v>
      </c>
      <c r="I3">
        <f t="shared" ref="I3:I11" si="5">$H$17+($H$16*C3)</f>
        <v>75.363636363636374</v>
      </c>
      <c r="J3">
        <f t="shared" ref="J3:J11" si="6">(I3-$B$13)^2</f>
        <v>1269.9504132231398</v>
      </c>
      <c r="K3">
        <f t="shared" ref="K3:K11" si="7">(B3-$B$13)^2</f>
        <v>2116</v>
      </c>
      <c r="L3">
        <f t="shared" ref="L3:L11" si="8">I3-B3</f>
        <v>10.363636363636374</v>
      </c>
      <c r="M3">
        <f t="shared" ref="M3:M11" si="9">L3^2</f>
        <v>107.40495867768617</v>
      </c>
      <c r="N3">
        <f t="shared" ref="N3:N11" si="10">C3^2</f>
        <v>10000</v>
      </c>
    </row>
    <row r="4" spans="1:14" x14ac:dyDescent="0.25">
      <c r="A4">
        <v>3</v>
      </c>
      <c r="B4">
        <v>90</v>
      </c>
      <c r="C4">
        <v>120</v>
      </c>
      <c r="D4">
        <f t="shared" si="0"/>
        <v>19.839557730443101</v>
      </c>
      <c r="E4">
        <f t="shared" si="1"/>
        <v>-50</v>
      </c>
      <c r="F4">
        <f t="shared" si="2"/>
        <v>-21</v>
      </c>
      <c r="G4">
        <f t="shared" si="3"/>
        <v>1050</v>
      </c>
      <c r="H4">
        <f t="shared" si="4"/>
        <v>2500</v>
      </c>
      <c r="I4">
        <f t="shared" si="5"/>
        <v>85.545454545454561</v>
      </c>
      <c r="J4">
        <f t="shared" si="6"/>
        <v>647.93388429751985</v>
      </c>
      <c r="K4">
        <f t="shared" si="7"/>
        <v>441</v>
      </c>
      <c r="L4">
        <f t="shared" si="8"/>
        <v>-4.454545454545439</v>
      </c>
      <c r="M4">
        <f t="shared" si="9"/>
        <v>19.842975206611431</v>
      </c>
      <c r="N4">
        <f t="shared" si="10"/>
        <v>14400</v>
      </c>
    </row>
    <row r="5" spans="1:14" x14ac:dyDescent="0.25">
      <c r="A5">
        <v>4</v>
      </c>
      <c r="B5">
        <v>95</v>
      </c>
      <c r="C5">
        <v>140</v>
      </c>
      <c r="D5">
        <f t="shared" si="0"/>
        <v>0.52936666333568638</v>
      </c>
      <c r="E5">
        <f t="shared" si="1"/>
        <v>-30</v>
      </c>
      <c r="F5">
        <f t="shared" si="2"/>
        <v>-16</v>
      </c>
      <c r="G5">
        <f t="shared" si="3"/>
        <v>480</v>
      </c>
      <c r="H5">
        <f t="shared" si="4"/>
        <v>900</v>
      </c>
      <c r="I5">
        <f t="shared" si="5"/>
        <v>95.727272727272734</v>
      </c>
      <c r="J5">
        <f t="shared" si="6"/>
        <v>233.25619834710724</v>
      </c>
      <c r="K5">
        <f t="shared" si="7"/>
        <v>256</v>
      </c>
      <c r="L5">
        <f t="shared" si="8"/>
        <v>0.72727272727273373</v>
      </c>
      <c r="M5">
        <f t="shared" si="9"/>
        <v>0.52892561983472008</v>
      </c>
      <c r="N5">
        <f t="shared" si="10"/>
        <v>19600</v>
      </c>
    </row>
    <row r="6" spans="1:14" x14ac:dyDescent="0.25">
      <c r="A6">
        <v>5</v>
      </c>
      <c r="B6">
        <v>110</v>
      </c>
      <c r="C6">
        <v>160</v>
      </c>
      <c r="D6">
        <f t="shared" si="0"/>
        <v>16.733715167860204</v>
      </c>
      <c r="E6">
        <f t="shared" si="1"/>
        <v>-10</v>
      </c>
      <c r="F6">
        <f t="shared" si="2"/>
        <v>-1</v>
      </c>
      <c r="G6">
        <f t="shared" si="3"/>
        <v>10</v>
      </c>
      <c r="H6">
        <f t="shared" si="4"/>
        <v>100</v>
      </c>
      <c r="I6">
        <f t="shared" si="5"/>
        <v>105.90909090909091</v>
      </c>
      <c r="J6">
        <f t="shared" si="6"/>
        <v>25.917355371900854</v>
      </c>
      <c r="K6">
        <f t="shared" si="7"/>
        <v>1</v>
      </c>
      <c r="L6">
        <f t="shared" si="8"/>
        <v>-4.0909090909090935</v>
      </c>
      <c r="M6">
        <f t="shared" si="9"/>
        <v>16.735537190082667</v>
      </c>
      <c r="N6">
        <f t="shared" si="10"/>
        <v>25600</v>
      </c>
    </row>
    <row r="7" spans="1:14" x14ac:dyDescent="0.25">
      <c r="A7">
        <v>6</v>
      </c>
      <c r="B7">
        <v>115</v>
      </c>
      <c r="C7">
        <v>180</v>
      </c>
      <c r="D7">
        <f t="shared" si="0"/>
        <v>1.1903930090984323</v>
      </c>
      <c r="E7">
        <f t="shared" si="1"/>
        <v>10</v>
      </c>
      <c r="F7">
        <f t="shared" si="2"/>
        <v>4</v>
      </c>
      <c r="G7">
        <f t="shared" si="3"/>
        <v>40</v>
      </c>
      <c r="H7">
        <f t="shared" si="4"/>
        <v>100</v>
      </c>
      <c r="I7">
        <f t="shared" si="5"/>
        <v>116.09090909090909</v>
      </c>
      <c r="J7">
        <f t="shared" si="6"/>
        <v>25.917355371900854</v>
      </c>
      <c r="K7">
        <f t="shared" si="7"/>
        <v>16</v>
      </c>
      <c r="L7">
        <f t="shared" si="8"/>
        <v>1.0909090909090935</v>
      </c>
      <c r="M7">
        <f t="shared" si="9"/>
        <v>1.1900826446281048</v>
      </c>
      <c r="N7">
        <f t="shared" si="10"/>
        <v>32400</v>
      </c>
    </row>
    <row r="8" spans="1:14" x14ac:dyDescent="0.25">
      <c r="A8">
        <v>7</v>
      </c>
      <c r="B8">
        <v>120</v>
      </c>
      <c r="C8">
        <v>200</v>
      </c>
      <c r="D8">
        <f t="shared" si="0"/>
        <v>39.347882557116478</v>
      </c>
      <c r="E8">
        <f t="shared" si="1"/>
        <v>30</v>
      </c>
      <c r="F8">
        <f t="shared" si="2"/>
        <v>9</v>
      </c>
      <c r="G8">
        <f t="shared" si="3"/>
        <v>270</v>
      </c>
      <c r="H8">
        <f t="shared" si="4"/>
        <v>900</v>
      </c>
      <c r="I8">
        <f t="shared" si="5"/>
        <v>126.27272727272728</v>
      </c>
      <c r="J8">
        <f t="shared" si="6"/>
        <v>233.25619834710767</v>
      </c>
      <c r="K8">
        <f t="shared" si="7"/>
        <v>81</v>
      </c>
      <c r="L8">
        <f t="shared" si="8"/>
        <v>6.2727272727272805</v>
      </c>
      <c r="M8">
        <f t="shared" si="9"/>
        <v>39.347107438016629</v>
      </c>
      <c r="N8">
        <f t="shared" si="10"/>
        <v>40000</v>
      </c>
    </row>
    <row r="9" spans="1:14" x14ac:dyDescent="0.25">
      <c r="A9">
        <v>8</v>
      </c>
      <c r="B9">
        <v>140</v>
      </c>
      <c r="C9">
        <v>220</v>
      </c>
      <c r="D9">
        <f t="shared" si="0"/>
        <v>12.57038033572989</v>
      </c>
      <c r="E9">
        <f t="shared" si="1"/>
        <v>50</v>
      </c>
      <c r="F9">
        <f t="shared" si="2"/>
        <v>29</v>
      </c>
      <c r="G9">
        <f t="shared" si="3"/>
        <v>1450</v>
      </c>
      <c r="H9">
        <f t="shared" si="4"/>
        <v>2500</v>
      </c>
      <c r="I9">
        <f t="shared" si="5"/>
        <v>136.45454545454544</v>
      </c>
      <c r="J9">
        <f t="shared" si="6"/>
        <v>647.93388429751985</v>
      </c>
      <c r="K9">
        <f t="shared" si="7"/>
        <v>841</v>
      </c>
      <c r="L9">
        <f t="shared" si="8"/>
        <v>-3.545454545454561</v>
      </c>
      <c r="M9">
        <f t="shared" si="9"/>
        <v>12.570247933884408</v>
      </c>
      <c r="N9">
        <f t="shared" si="10"/>
        <v>48400</v>
      </c>
    </row>
    <row r="10" spans="1:14" x14ac:dyDescent="0.25">
      <c r="A10">
        <v>9</v>
      </c>
      <c r="B10">
        <v>155</v>
      </c>
      <c r="C10">
        <v>240</v>
      </c>
      <c r="D10">
        <f t="shared" si="0"/>
        <v>69.952071383483002</v>
      </c>
      <c r="E10">
        <f t="shared" si="1"/>
        <v>70</v>
      </c>
      <c r="F10">
        <f t="shared" si="2"/>
        <v>44</v>
      </c>
      <c r="G10">
        <f t="shared" si="3"/>
        <v>3080</v>
      </c>
      <c r="H10">
        <f t="shared" si="4"/>
        <v>4900</v>
      </c>
      <c r="I10">
        <f t="shared" si="5"/>
        <v>146.63636363636363</v>
      </c>
      <c r="J10">
        <f t="shared" si="6"/>
        <v>1269.9504132231398</v>
      </c>
      <c r="K10">
        <f t="shared" si="7"/>
        <v>1936</v>
      </c>
      <c r="L10">
        <f t="shared" si="8"/>
        <v>-8.363636363636374</v>
      </c>
      <c r="M10">
        <f t="shared" si="9"/>
        <v>69.950413223140671</v>
      </c>
      <c r="N10">
        <f t="shared" si="10"/>
        <v>57600</v>
      </c>
    </row>
    <row r="11" spans="1:14" x14ac:dyDescent="0.25">
      <c r="A11">
        <v>10</v>
      </c>
      <c r="B11">
        <v>150</v>
      </c>
      <c r="C11">
        <v>260</v>
      </c>
      <c r="D11">
        <f t="shared" si="0"/>
        <v>46.485154450022961</v>
      </c>
      <c r="E11">
        <f t="shared" si="1"/>
        <v>90</v>
      </c>
      <c r="F11">
        <f t="shared" si="2"/>
        <v>39</v>
      </c>
      <c r="G11">
        <f t="shared" si="3"/>
        <v>3510</v>
      </c>
      <c r="H11">
        <f t="shared" si="4"/>
        <v>8100</v>
      </c>
      <c r="I11">
        <f t="shared" si="5"/>
        <v>156.81818181818181</v>
      </c>
      <c r="J11">
        <f t="shared" si="6"/>
        <v>2099.3057851239664</v>
      </c>
      <c r="K11">
        <f t="shared" si="7"/>
        <v>1521</v>
      </c>
      <c r="L11">
        <f t="shared" si="8"/>
        <v>6.818181818181813</v>
      </c>
      <c r="M11">
        <f t="shared" si="9"/>
        <v>46.487603305785051</v>
      </c>
      <c r="N11">
        <f t="shared" si="10"/>
        <v>67600</v>
      </c>
    </row>
    <row r="12" spans="1:14" x14ac:dyDescent="0.25">
      <c r="A12" t="s">
        <v>1</v>
      </c>
      <c r="B12">
        <f t="shared" ref="B12:C12" si="11">SUM(B2:B11)</f>
        <v>1110</v>
      </c>
      <c r="C12">
        <f t="shared" si="11"/>
        <v>1700</v>
      </c>
      <c r="D12">
        <f>SUM(D2:D11)</f>
        <v>337.27272813972166</v>
      </c>
      <c r="E12">
        <f t="shared" ref="E12:H12" si="12">SUM(E2:E11)</f>
        <v>0</v>
      </c>
      <c r="F12">
        <f t="shared" si="12"/>
        <v>0</v>
      </c>
      <c r="G12">
        <f t="shared" si="12"/>
        <v>16800</v>
      </c>
      <c r="H12">
        <f t="shared" si="12"/>
        <v>33000</v>
      </c>
      <c r="I12">
        <f t="shared" ref="I12" si="13">SUM(I2:I11)</f>
        <v>1110</v>
      </c>
      <c r="J12">
        <f t="shared" ref="J12" si="14">SUM(J2:J11)</f>
        <v>8552.7272727272684</v>
      </c>
      <c r="K12">
        <f t="shared" ref="K12" si="15">SUM(K2:K11)</f>
        <v>8890</v>
      </c>
      <c r="L12">
        <f t="shared" ref="L12" si="16">SUM(L2:L11)</f>
        <v>1.4210854715202004E-14</v>
      </c>
      <c r="M12">
        <f t="shared" ref="M12:N12" si="17">SUM(M2:M11)</f>
        <v>337.27272727272765</v>
      </c>
      <c r="N12">
        <f t="shared" si="17"/>
        <v>322000</v>
      </c>
    </row>
    <row r="13" spans="1:14" x14ac:dyDescent="0.25">
      <c r="A13" t="s">
        <v>2</v>
      </c>
      <c r="B13">
        <f>AVERAGE(B2:B11)</f>
        <v>111</v>
      </c>
      <c r="C13">
        <f t="shared" ref="C13:D13" si="18">AVERAGE(C2:C11)</f>
        <v>170</v>
      </c>
      <c r="D13">
        <f t="shared" si="18"/>
        <v>33.727272813972164</v>
      </c>
      <c r="E13">
        <f t="shared" ref="E13:G13" si="19">AVERAGE(E2:E11)</f>
        <v>0</v>
      </c>
      <c r="F13">
        <f t="shared" si="19"/>
        <v>0</v>
      </c>
      <c r="G13">
        <f t="shared" si="19"/>
        <v>1680</v>
      </c>
      <c r="H13">
        <f t="shared" ref="H13:K13" si="20">AVERAGE(H2:H11)</f>
        <v>3300</v>
      </c>
      <c r="I13">
        <f t="shared" si="20"/>
        <v>111</v>
      </c>
      <c r="J13">
        <f t="shared" si="20"/>
        <v>855.2727272727268</v>
      </c>
      <c r="K13">
        <f t="shared" si="20"/>
        <v>889</v>
      </c>
      <c r="L13">
        <f t="shared" ref="L13:M13" si="21">AVERAGE(L2:L11)</f>
        <v>1.4210854715202005E-15</v>
      </c>
      <c r="M13">
        <f t="shared" si="21"/>
        <v>33.727272727272762</v>
      </c>
      <c r="N13">
        <f t="shared" ref="N13" si="22">AVERAGE(N2:N11)</f>
        <v>32200</v>
      </c>
    </row>
    <row r="14" spans="1:14" x14ac:dyDescent="0.25">
      <c r="B14" t="s">
        <v>8</v>
      </c>
      <c r="C14" t="s">
        <v>7</v>
      </c>
    </row>
    <row r="15" spans="1:14" x14ac:dyDescent="0.25">
      <c r="B15">
        <v>24.455411804671822</v>
      </c>
      <c r="C15">
        <v>0.50908688626303478</v>
      </c>
    </row>
    <row r="16" spans="1:14" x14ac:dyDescent="0.25">
      <c r="G16" t="s">
        <v>7</v>
      </c>
      <c r="H16">
        <f>G12/H12</f>
        <v>0.50909090909090904</v>
      </c>
    </row>
    <row r="17" spans="7:19" x14ac:dyDescent="0.25">
      <c r="G17" t="s">
        <v>8</v>
      </c>
      <c r="H17">
        <f>B13-(H16*C13)</f>
        <v>24.454545454545467</v>
      </c>
    </row>
    <row r="18" spans="7:19" x14ac:dyDescent="0.25">
      <c r="G18" t="s">
        <v>11</v>
      </c>
      <c r="H18">
        <f>J12/K12</f>
        <v>0.96206156048675684</v>
      </c>
      <c r="J18">
        <f>J12/K12</f>
        <v>0.96206156048675684</v>
      </c>
    </row>
    <row r="19" spans="7:19" x14ac:dyDescent="0.25">
      <c r="G19" t="s">
        <v>15</v>
      </c>
      <c r="H19">
        <f>SQRT(H18)</f>
        <v>0.98084736859857902</v>
      </c>
    </row>
    <row r="20" spans="7:19" x14ac:dyDescent="0.25">
      <c r="G20" t="s">
        <v>16</v>
      </c>
      <c r="H20">
        <f>SQRT((M12/(A11-2))/(H12))</f>
        <v>3.5742806400258953E-2</v>
      </c>
    </row>
    <row r="21" spans="7:19" x14ac:dyDescent="0.25">
      <c r="G21" t="s">
        <v>17</v>
      </c>
      <c r="H21">
        <f>SQRT(((M12/(A11-2))*N12)/(A11*H12))</f>
        <v>6.4138172987385476</v>
      </c>
      <c r="S21">
        <f>8/526</f>
        <v>1.5209125475285171E-2</v>
      </c>
    </row>
    <row r="22" spans="7:19" x14ac:dyDescent="0.25">
      <c r="G22" t="s">
        <v>59</v>
      </c>
      <c r="H22">
        <f>H16/H20</f>
        <v>14.243171154216384</v>
      </c>
    </row>
    <row r="23" spans="7:19" x14ac:dyDescent="0.25">
      <c r="G23" t="s">
        <v>58</v>
      </c>
      <c r="H23">
        <f>H17/H21</f>
        <v>3.8127910907838181</v>
      </c>
    </row>
    <row r="24" spans="7:19" x14ac:dyDescent="0.25">
      <c r="G24" t="s">
        <v>23</v>
      </c>
      <c r="H24">
        <f>H16+(2.306*H20)</f>
        <v>0.59151382064990621</v>
      </c>
    </row>
    <row r="25" spans="7:19" x14ac:dyDescent="0.25">
      <c r="G25" t="s">
        <v>24</v>
      </c>
      <c r="H25">
        <f>H16-(2.306*H20)</f>
        <v>0.42666799753191187</v>
      </c>
    </row>
    <row r="26" spans="7:19" x14ac:dyDescent="0.25">
      <c r="G26" t="s">
        <v>25</v>
      </c>
      <c r="H26">
        <f>H17+(2.306*H21)</f>
        <v>39.244808145436558</v>
      </c>
    </row>
    <row r="27" spans="7:19" x14ac:dyDescent="0.25">
      <c r="G27" t="s">
        <v>26</v>
      </c>
      <c r="H27">
        <f>H17-(2.306*H21)</f>
        <v>9.6642827636543771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1:L15"/>
  <sheetViews>
    <sheetView topLeftCell="B1" zoomScale="190" zoomScaleNormal="190" workbookViewId="0">
      <selection activeCell="K2" sqref="K2:L2"/>
    </sheetView>
  </sheetViews>
  <sheetFormatPr defaultRowHeight="15" x14ac:dyDescent="0.25"/>
  <cols>
    <col min="7" max="7" width="11.7109375" bestFit="1" customWidth="1"/>
  </cols>
  <sheetData>
    <row r="1" spans="6:12" x14ac:dyDescent="0.25">
      <c r="K1" t="s">
        <v>51</v>
      </c>
      <c r="L1" t="s">
        <v>52</v>
      </c>
    </row>
    <row r="2" spans="6:12" x14ac:dyDescent="0.25">
      <c r="K2">
        <v>24.455411778691108</v>
      </c>
      <c r="L2">
        <v>0.50908688648854938</v>
      </c>
    </row>
    <row r="4" spans="6:12" x14ac:dyDescent="0.25">
      <c r="F4" t="s">
        <v>0</v>
      </c>
      <c r="G4" t="s">
        <v>4</v>
      </c>
      <c r="H4" t="s">
        <v>5</v>
      </c>
      <c r="I4" t="s">
        <v>18</v>
      </c>
      <c r="J4" t="s">
        <v>19</v>
      </c>
    </row>
    <row r="5" spans="6:12" x14ac:dyDescent="0.25">
      <c r="F5">
        <v>1</v>
      </c>
      <c r="G5">
        <v>70</v>
      </c>
      <c r="H5">
        <v>80</v>
      </c>
      <c r="I5">
        <f>G5-($K$2+($L$2*H5))</f>
        <v>4.8176373022249379</v>
      </c>
      <c r="J5">
        <f>I5^2</f>
        <v>23.209629175789178</v>
      </c>
    </row>
    <row r="6" spans="6:12" x14ac:dyDescent="0.25">
      <c r="F6">
        <v>2</v>
      </c>
      <c r="G6">
        <v>65</v>
      </c>
      <c r="H6">
        <v>100</v>
      </c>
      <c r="I6">
        <f t="shared" ref="I6:I14" si="0">G6-($K$2+($L$2*H6))</f>
        <v>-10.364100427546049</v>
      </c>
      <c r="J6">
        <f t="shared" ref="J6:J14" si="1">I6^2</f>
        <v>107.41457767226019</v>
      </c>
    </row>
    <row r="7" spans="6:12" x14ac:dyDescent="0.25">
      <c r="F7">
        <v>3</v>
      </c>
      <c r="G7">
        <v>90</v>
      </c>
      <c r="H7">
        <v>120</v>
      </c>
      <c r="I7">
        <f t="shared" si="0"/>
        <v>4.4541618426829643</v>
      </c>
      <c r="J7">
        <f t="shared" si="1"/>
        <v>19.839557720812902</v>
      </c>
    </row>
    <row r="8" spans="6:12" x14ac:dyDescent="0.25">
      <c r="F8">
        <v>4</v>
      </c>
      <c r="G8">
        <v>95</v>
      </c>
      <c r="H8">
        <v>140</v>
      </c>
      <c r="I8">
        <f t="shared" si="0"/>
        <v>-0.72757588708802245</v>
      </c>
      <c r="J8">
        <f t="shared" si="1"/>
        <v>0.52936667147192284</v>
      </c>
    </row>
    <row r="9" spans="6:12" x14ac:dyDescent="0.25">
      <c r="F9">
        <v>5</v>
      </c>
      <c r="G9">
        <v>110</v>
      </c>
      <c r="H9">
        <v>160</v>
      </c>
      <c r="I9">
        <f t="shared" si="0"/>
        <v>4.0906863831409908</v>
      </c>
      <c r="J9">
        <f t="shared" si="1"/>
        <v>16.73371508521512</v>
      </c>
    </row>
    <row r="10" spans="6:12" x14ac:dyDescent="0.25">
      <c r="F10">
        <v>6</v>
      </c>
      <c r="G10">
        <v>115</v>
      </c>
      <c r="H10">
        <v>180</v>
      </c>
      <c r="I10">
        <f t="shared" si="0"/>
        <v>-1.091051346629996</v>
      </c>
      <c r="J10">
        <f t="shared" si="1"/>
        <v>1.1903930409831278</v>
      </c>
    </row>
    <row r="11" spans="6:12" x14ac:dyDescent="0.25">
      <c r="F11">
        <v>7</v>
      </c>
      <c r="G11">
        <v>120</v>
      </c>
      <c r="H11">
        <v>200</v>
      </c>
      <c r="I11">
        <f t="shared" si="0"/>
        <v>-6.2727890764009828</v>
      </c>
      <c r="J11">
        <f t="shared" si="1"/>
        <v>39.347882797015494</v>
      </c>
    </row>
    <row r="12" spans="6:12" x14ac:dyDescent="0.25">
      <c r="F12">
        <v>8</v>
      </c>
      <c r="G12">
        <v>140</v>
      </c>
      <c r="H12">
        <v>220</v>
      </c>
      <c r="I12">
        <f t="shared" si="0"/>
        <v>3.5454731938280304</v>
      </c>
      <c r="J12">
        <f t="shared" si="1"/>
        <v>12.570380168153134</v>
      </c>
    </row>
    <row r="13" spans="6:12" x14ac:dyDescent="0.25">
      <c r="F13">
        <v>9</v>
      </c>
      <c r="G13">
        <v>155</v>
      </c>
      <c r="H13">
        <v>240</v>
      </c>
      <c r="I13">
        <f t="shared" si="0"/>
        <v>8.3637354640570436</v>
      </c>
      <c r="J13">
        <f t="shared" si="1"/>
        <v>69.952070912725489</v>
      </c>
    </row>
    <row r="14" spans="6:12" x14ac:dyDescent="0.25">
      <c r="F14">
        <v>10</v>
      </c>
      <c r="G14">
        <v>150</v>
      </c>
      <c r="H14">
        <v>260</v>
      </c>
      <c r="I14">
        <f t="shared" si="0"/>
        <v>-6.8180022657139432</v>
      </c>
      <c r="J14">
        <f t="shared" si="1"/>
        <v>46.485154895280466</v>
      </c>
    </row>
    <row r="15" spans="6:12" x14ac:dyDescent="0.25">
      <c r="F15" t="s">
        <v>1</v>
      </c>
      <c r="G15">
        <f>SUM(G5:G14)</f>
        <v>1110</v>
      </c>
      <c r="H15">
        <f>SUM(H5:H14)</f>
        <v>1700</v>
      </c>
      <c r="I15">
        <f t="shared" ref="I15:J15" si="2">SUM(I5:I14)</f>
        <v>-1.8248174450263832E-3</v>
      </c>
      <c r="J15">
        <f t="shared" si="2"/>
        <v>337.27272813970706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00580-278E-4E66-A11C-140A6FF1A9E4}">
  <dimension ref="A1:P17"/>
  <sheetViews>
    <sheetView zoomScale="220" zoomScaleNormal="220" workbookViewId="0">
      <selection activeCell="K2" sqref="K2"/>
    </sheetView>
  </sheetViews>
  <sheetFormatPr defaultRowHeight="15" x14ac:dyDescent="0.25"/>
  <cols>
    <col min="4" max="4" width="12.42578125" bestFit="1" customWidth="1"/>
    <col min="7" max="7" width="11.5703125" bestFit="1" customWidth="1"/>
    <col min="11" max="11" width="12" bestFit="1" customWidth="1"/>
  </cols>
  <sheetData>
    <row r="1" spans="1:16" x14ac:dyDescent="0.25">
      <c r="A1" t="s">
        <v>0</v>
      </c>
      <c r="B1" t="s">
        <v>4</v>
      </c>
      <c r="C1" t="s">
        <v>5</v>
      </c>
      <c r="E1" t="s">
        <v>61</v>
      </c>
    </row>
    <row r="2" spans="1:16" x14ac:dyDescent="0.25">
      <c r="A2">
        <v>1</v>
      </c>
      <c r="B2">
        <v>70</v>
      </c>
      <c r="C2">
        <v>80</v>
      </c>
      <c r="E2">
        <f t="shared" ref="E2:E11" si="0">-(1/(2*$C$13^2))*((B2-(K$2+K$3*C2))^2)</f>
        <v>-3.1648480771125135E-3</v>
      </c>
      <c r="J2" t="s">
        <v>8</v>
      </c>
      <c r="K2" s="6">
        <v>24.455582035036713</v>
      </c>
      <c r="O2">
        <v>24.455411804671822</v>
      </c>
      <c r="P2">
        <v>0.50908688626303478</v>
      </c>
    </row>
    <row r="3" spans="1:16" x14ac:dyDescent="0.25">
      <c r="A3">
        <v>2</v>
      </c>
      <c r="B3">
        <v>65</v>
      </c>
      <c r="C3">
        <v>100</v>
      </c>
      <c r="E3">
        <f t="shared" si="0"/>
        <v>-1.4647594658583918E-2</v>
      </c>
      <c r="J3" t="s">
        <v>7</v>
      </c>
      <c r="K3" s="6">
        <v>0.50908572255736306</v>
      </c>
    </row>
    <row r="4" spans="1:16" x14ac:dyDescent="0.25">
      <c r="A4">
        <v>3</v>
      </c>
      <c r="B4">
        <v>90</v>
      </c>
      <c r="C4">
        <v>120</v>
      </c>
      <c r="E4">
        <f t="shared" si="0"/>
        <v>-2.7053570814821954E-3</v>
      </c>
    </row>
    <row r="5" spans="1:16" x14ac:dyDescent="0.25">
      <c r="A5">
        <v>4</v>
      </c>
      <c r="B5">
        <v>95</v>
      </c>
      <c r="C5">
        <v>140</v>
      </c>
      <c r="E5">
        <f t="shared" si="0"/>
        <v>-7.218781402286793E-5</v>
      </c>
    </row>
    <row r="6" spans="1:16" x14ac:dyDescent="0.25">
      <c r="A6">
        <v>5</v>
      </c>
      <c r="B6">
        <v>110</v>
      </c>
      <c r="C6">
        <v>160</v>
      </c>
      <c r="E6">
        <f t="shared" si="0"/>
        <v>-2.2818880586763499E-3</v>
      </c>
    </row>
    <row r="7" spans="1:16" x14ac:dyDescent="0.25">
      <c r="A7">
        <v>6</v>
      </c>
      <c r="B7">
        <v>115</v>
      </c>
      <c r="C7">
        <v>180</v>
      </c>
      <c r="E7">
        <f t="shared" si="0"/>
        <v>-1.6231464439449739E-4</v>
      </c>
    </row>
    <row r="8" spans="1:16" x14ac:dyDescent="0.25">
      <c r="A8">
        <v>7</v>
      </c>
      <c r="B8">
        <v>120</v>
      </c>
      <c r="C8">
        <v>200</v>
      </c>
      <c r="E8">
        <f t="shared" si="0"/>
        <v>-5.3655134082658262E-3</v>
      </c>
    </row>
    <row r="9" spans="1:16" x14ac:dyDescent="0.25">
      <c r="A9">
        <v>8</v>
      </c>
      <c r="B9">
        <v>140</v>
      </c>
      <c r="C9">
        <v>220</v>
      </c>
      <c r="E9">
        <f t="shared" si="0"/>
        <v>-1.7142257235134041E-3</v>
      </c>
    </row>
    <row r="10" spans="1:16" x14ac:dyDescent="0.25">
      <c r="A10">
        <v>9</v>
      </c>
      <c r="B10">
        <v>155</v>
      </c>
      <c r="C10">
        <v>240</v>
      </c>
      <c r="E10">
        <f t="shared" si="0"/>
        <v>-9.5391675922600668E-3</v>
      </c>
    </row>
    <row r="11" spans="1:16" x14ac:dyDescent="0.25">
      <c r="A11">
        <v>10</v>
      </c>
      <c r="B11">
        <v>150</v>
      </c>
      <c r="C11">
        <v>260</v>
      </c>
      <c r="E11">
        <f t="shared" si="0"/>
        <v>-6.3386386326353865E-3</v>
      </c>
    </row>
    <row r="12" spans="1:16" x14ac:dyDescent="0.25">
      <c r="D12" s="6" t="s">
        <v>1</v>
      </c>
      <c r="E12">
        <f>SUM(E2:E11)</f>
        <v>-4.5991735690947028E-2</v>
      </c>
      <c r="G12" s="7">
        <v>716878.40572670009</v>
      </c>
    </row>
    <row r="13" spans="1:16" x14ac:dyDescent="0.25">
      <c r="B13" t="s">
        <v>64</v>
      </c>
      <c r="C13">
        <f>_xlfn.STDEV.S(C2:C11)</f>
        <v>60.553007081949829</v>
      </c>
      <c r="G13" s="7">
        <v>120641</v>
      </c>
    </row>
    <row r="14" spans="1:16" x14ac:dyDescent="0.25">
      <c r="D14" t="s">
        <v>62</v>
      </c>
      <c r="E14">
        <f>-(A11/2)*LN(3.14)</f>
        <v>-5.72111399960081</v>
      </c>
    </row>
    <row r="15" spans="1:16" x14ac:dyDescent="0.25">
      <c r="D15" t="s">
        <v>63</v>
      </c>
      <c r="E15">
        <f>-A11*LN(C13)</f>
        <v>-41.035191315561988</v>
      </c>
    </row>
    <row r="17" spans="4:5" x14ac:dyDescent="0.25">
      <c r="D17" t="s">
        <v>60</v>
      </c>
      <c r="E17" s="5">
        <f>E12+E14+E15</f>
        <v>-46.802297050853745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7C487-F451-43A6-850D-E41200384753}">
  <dimension ref="A1:I34"/>
  <sheetViews>
    <sheetView workbookViewId="0">
      <selection activeCell="H10" sqref="H10"/>
    </sheetView>
  </sheetViews>
  <sheetFormatPr defaultRowHeight="15" x14ac:dyDescent="0.25"/>
  <cols>
    <col min="6" max="6" width="20.140625" bestFit="1" customWidth="1"/>
    <col min="7" max="7" width="12" bestFit="1" customWidth="1"/>
    <col min="8" max="8" width="12.42578125" bestFit="1" customWidth="1"/>
    <col min="9" max="9" width="12.5703125" bestFit="1" customWidth="1"/>
  </cols>
  <sheetData>
    <row r="1" spans="1:9" x14ac:dyDescent="0.25">
      <c r="A1" t="s">
        <v>27</v>
      </c>
    </row>
    <row r="2" spans="1:9" ht="15.75" thickBot="1" x14ac:dyDescent="0.3"/>
    <row r="3" spans="1:9" x14ac:dyDescent="0.25">
      <c r="A3" s="4" t="s">
        <v>28</v>
      </c>
      <c r="B3" s="4"/>
    </row>
    <row r="4" spans="1:9" x14ac:dyDescent="0.25">
      <c r="A4" s="1" t="s">
        <v>29</v>
      </c>
      <c r="B4" s="1">
        <v>0.98084736859857935</v>
      </c>
    </row>
    <row r="5" spans="1:9" x14ac:dyDescent="0.25">
      <c r="A5" s="1" t="s">
        <v>30</v>
      </c>
      <c r="B5" s="1">
        <v>0.96206156048675728</v>
      </c>
    </row>
    <row r="6" spans="1:9" x14ac:dyDescent="0.25">
      <c r="A6" s="1" t="s">
        <v>31</v>
      </c>
      <c r="B6" s="1">
        <v>0.957319255547602</v>
      </c>
    </row>
    <row r="7" spans="1:9" x14ac:dyDescent="0.25">
      <c r="A7" s="1" t="s">
        <v>32</v>
      </c>
      <c r="B7" s="1">
        <v>6.4930032272509246</v>
      </c>
    </row>
    <row r="8" spans="1:9" ht="15.75" thickBot="1" x14ac:dyDescent="0.3">
      <c r="A8" s="2" t="s">
        <v>33</v>
      </c>
      <c r="B8" s="2">
        <v>10</v>
      </c>
    </row>
    <row r="10" spans="1:9" ht="15.75" thickBot="1" x14ac:dyDescent="0.3">
      <c r="A10" t="s">
        <v>34</v>
      </c>
    </row>
    <row r="11" spans="1:9" x14ac:dyDescent="0.25">
      <c r="A11" s="3"/>
      <c r="B11" s="3" t="s">
        <v>39</v>
      </c>
      <c r="C11" s="3" t="s">
        <v>40</v>
      </c>
      <c r="D11" s="3" t="s">
        <v>41</v>
      </c>
      <c r="E11" s="3" t="s">
        <v>42</v>
      </c>
      <c r="F11" s="3" t="s">
        <v>43</v>
      </c>
    </row>
    <row r="12" spans="1:9" x14ac:dyDescent="0.25">
      <c r="A12" s="1" t="s">
        <v>35</v>
      </c>
      <c r="B12" s="1">
        <v>1</v>
      </c>
      <c r="C12" s="1">
        <v>8552.7272727272721</v>
      </c>
      <c r="D12" s="1">
        <v>8552.7272727272721</v>
      </c>
      <c r="E12" s="1">
        <v>202.86792452830181</v>
      </c>
      <c r="F12" s="1">
        <v>5.7527461167326375E-7</v>
      </c>
    </row>
    <row r="13" spans="1:9" x14ac:dyDescent="0.25">
      <c r="A13" s="1" t="s">
        <v>36</v>
      </c>
      <c r="B13" s="1">
        <v>8</v>
      </c>
      <c r="C13" s="1">
        <v>337.27272727272737</v>
      </c>
      <c r="D13" s="1">
        <v>42.159090909090921</v>
      </c>
      <c r="E13" s="1"/>
      <c r="F13" s="1"/>
    </row>
    <row r="14" spans="1:9" ht="15.75" thickBot="1" x14ac:dyDescent="0.3">
      <c r="A14" s="2" t="s">
        <v>37</v>
      </c>
      <c r="B14" s="2">
        <v>9</v>
      </c>
      <c r="C14" s="2">
        <v>8890</v>
      </c>
      <c r="D14" s="2"/>
      <c r="E14" s="2"/>
      <c r="F14" s="2"/>
    </row>
    <row r="15" spans="1:9" ht="15.75" thickBot="1" x14ac:dyDescent="0.3"/>
    <row r="16" spans="1:9" x14ac:dyDescent="0.25">
      <c r="A16" s="3"/>
      <c r="B16" s="3" t="s">
        <v>44</v>
      </c>
      <c r="C16" s="3" t="s">
        <v>32</v>
      </c>
      <c r="D16" s="3" t="s">
        <v>45</v>
      </c>
      <c r="E16" s="3" t="s">
        <v>46</v>
      </c>
      <c r="F16" s="3" t="s">
        <v>47</v>
      </c>
      <c r="G16" s="3" t="s">
        <v>48</v>
      </c>
      <c r="H16" s="3" t="s">
        <v>49</v>
      </c>
      <c r="I16" s="3" t="s">
        <v>50</v>
      </c>
    </row>
    <row r="17" spans="1:9" x14ac:dyDescent="0.25">
      <c r="A17" s="1" t="s">
        <v>38</v>
      </c>
      <c r="B17" s="1">
        <v>24.454545454545425</v>
      </c>
      <c r="C17" s="1">
        <v>6.4138172987385449</v>
      </c>
      <c r="D17" s="1">
        <v>3.8127910907838127</v>
      </c>
      <c r="E17" s="1">
        <v>5.1421720416935197E-3</v>
      </c>
      <c r="F17" s="1">
        <v>9.6642562412103192</v>
      </c>
      <c r="G17" s="1">
        <v>39.244834667880532</v>
      </c>
      <c r="H17" s="1">
        <v>9.6642562412103192</v>
      </c>
      <c r="I17" s="1">
        <v>39.244834667880532</v>
      </c>
    </row>
    <row r="18" spans="1:9" ht="15.75" thickBot="1" x14ac:dyDescent="0.3">
      <c r="A18" s="2" t="s">
        <v>5</v>
      </c>
      <c r="B18" s="2">
        <v>0.50909090909090926</v>
      </c>
      <c r="C18" s="2">
        <v>3.5742806400258946E-2</v>
      </c>
      <c r="D18" s="2">
        <v>14.243171154216393</v>
      </c>
      <c r="E18" s="2">
        <v>5.7527461167326174E-7</v>
      </c>
      <c r="F18" s="2">
        <v>0.42666784972811017</v>
      </c>
      <c r="G18" s="2">
        <v>0.59151396845370841</v>
      </c>
      <c r="H18" s="2">
        <v>0.42666784972811017</v>
      </c>
      <c r="I18" s="2">
        <v>0.59151396845370841</v>
      </c>
    </row>
    <row r="22" spans="1:9" x14ac:dyDescent="0.25">
      <c r="A22" t="s">
        <v>65</v>
      </c>
      <c r="F22" t="s">
        <v>70</v>
      </c>
    </row>
    <row r="23" spans="1:9" ht="15.75" thickBot="1" x14ac:dyDescent="0.3"/>
    <row r="24" spans="1:9" x14ac:dyDescent="0.25">
      <c r="A24" s="3" t="s">
        <v>66</v>
      </c>
      <c r="B24" s="3" t="s">
        <v>67</v>
      </c>
      <c r="C24" s="3" t="s">
        <v>68</v>
      </c>
      <c r="D24" s="3" t="s">
        <v>69</v>
      </c>
      <c r="F24" s="3" t="s">
        <v>71</v>
      </c>
      <c r="G24" s="3" t="s">
        <v>4</v>
      </c>
    </row>
    <row r="25" spans="1:9" x14ac:dyDescent="0.25">
      <c r="A25" s="1">
        <v>1</v>
      </c>
      <c r="B25" s="1">
        <v>65.181818181818159</v>
      </c>
      <c r="C25" s="1">
        <v>4.8181818181818414</v>
      </c>
      <c r="D25" s="1">
        <v>0.78707084781519199</v>
      </c>
      <c r="F25" s="1">
        <v>5</v>
      </c>
      <c r="G25" s="1">
        <v>65</v>
      </c>
    </row>
    <row r="26" spans="1:9" x14ac:dyDescent="0.25">
      <c r="A26" s="1">
        <v>2</v>
      </c>
      <c r="B26" s="1">
        <v>75.363636363636346</v>
      </c>
      <c r="C26" s="1">
        <v>-10.363636363636346</v>
      </c>
      <c r="D26" s="1">
        <v>-1.6929448424704019</v>
      </c>
      <c r="F26" s="1">
        <v>15</v>
      </c>
      <c r="G26" s="1">
        <v>70</v>
      </c>
    </row>
    <row r="27" spans="1:9" x14ac:dyDescent="0.25">
      <c r="A27" s="1">
        <v>3</v>
      </c>
      <c r="B27" s="1">
        <v>85.545454545454533</v>
      </c>
      <c r="C27" s="1">
        <v>4.4545454545454675</v>
      </c>
      <c r="D27" s="1">
        <v>0.72766927439517615</v>
      </c>
      <c r="F27" s="1">
        <v>25</v>
      </c>
      <c r="G27" s="1">
        <v>90</v>
      </c>
    </row>
    <row r="28" spans="1:9" x14ac:dyDescent="0.25">
      <c r="A28" s="1">
        <v>4</v>
      </c>
      <c r="B28" s="1">
        <v>95.72727272727272</v>
      </c>
      <c r="C28" s="1">
        <v>-0.72727272727271952</v>
      </c>
      <c r="D28" s="1">
        <v>-0.11880314684002714</v>
      </c>
      <c r="F28" s="1">
        <v>35</v>
      </c>
      <c r="G28" s="1">
        <v>95</v>
      </c>
    </row>
    <row r="29" spans="1:9" x14ac:dyDescent="0.25">
      <c r="A29" s="1">
        <v>5</v>
      </c>
      <c r="B29" s="1">
        <v>105.90909090909091</v>
      </c>
      <c r="C29" s="1">
        <v>4.0909090909090935</v>
      </c>
      <c r="D29" s="1">
        <v>0.66826770097516019</v>
      </c>
      <c r="F29" s="1">
        <v>45</v>
      </c>
      <c r="G29" s="1">
        <v>110</v>
      </c>
    </row>
    <row r="30" spans="1:9" x14ac:dyDescent="0.25">
      <c r="A30" s="1">
        <v>6</v>
      </c>
      <c r="B30" s="1">
        <v>116.09090909090909</v>
      </c>
      <c r="C30" s="1">
        <v>-1.0909090909090935</v>
      </c>
      <c r="D30" s="1">
        <v>-0.17820472026004303</v>
      </c>
      <c r="F30" s="1">
        <v>55</v>
      </c>
      <c r="G30" s="1">
        <v>115</v>
      </c>
    </row>
    <row r="31" spans="1:9" x14ac:dyDescent="0.25">
      <c r="A31" s="1">
        <v>7</v>
      </c>
      <c r="B31" s="1">
        <v>126.27272727272728</v>
      </c>
      <c r="C31" s="1">
        <v>-6.2727272727272805</v>
      </c>
      <c r="D31" s="1">
        <v>-1.0246771414952462</v>
      </c>
      <c r="F31" s="1">
        <v>65</v>
      </c>
      <c r="G31" s="1">
        <v>120</v>
      </c>
    </row>
    <row r="32" spans="1:9" x14ac:dyDescent="0.25">
      <c r="A32" s="1">
        <v>8</v>
      </c>
      <c r="B32" s="1">
        <v>136.45454545454547</v>
      </c>
      <c r="C32" s="1">
        <v>3.5454545454545325</v>
      </c>
      <c r="D32" s="1">
        <v>0.57916534084513638</v>
      </c>
      <c r="F32" s="1">
        <v>75</v>
      </c>
      <c r="G32" s="1">
        <v>140</v>
      </c>
    </row>
    <row r="33" spans="1:7" x14ac:dyDescent="0.25">
      <c r="A33" s="1">
        <v>9</v>
      </c>
      <c r="B33" s="1">
        <v>146.63636363636363</v>
      </c>
      <c r="C33" s="1">
        <v>8.363636363636374</v>
      </c>
      <c r="D33" s="1">
        <v>1.3662361886603285</v>
      </c>
      <c r="F33" s="1">
        <v>85</v>
      </c>
      <c r="G33" s="1">
        <v>150</v>
      </c>
    </row>
    <row r="34" spans="1:7" ht="15.75" thickBot="1" x14ac:dyDescent="0.3">
      <c r="A34" s="2">
        <v>10</v>
      </c>
      <c r="B34" s="2">
        <v>156.81818181818181</v>
      </c>
      <c r="C34" s="2">
        <v>-6.818181818181813</v>
      </c>
      <c r="D34" s="2">
        <v>-1.1137795016252654</v>
      </c>
      <c r="F34" s="2">
        <v>95</v>
      </c>
      <c r="G34" s="2">
        <v>155</v>
      </c>
    </row>
  </sheetData>
  <sortState xmlns:xlrd2="http://schemas.microsoft.com/office/spreadsheetml/2017/richdata2" ref="G25:G34">
    <sortCondition ref="G25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HandCalculation</vt:lpstr>
      <vt:lpstr>Base_MOM</vt:lpstr>
      <vt:lpstr>OLS_Optim</vt:lpstr>
      <vt:lpstr>ML</vt:lpstr>
      <vt:lpstr>Excel_results</vt:lpstr>
      <vt:lpstr>WBMAX</vt:lpstr>
    </vt:vector>
  </TitlesOfParts>
  <Company>University of Memphis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Sabyasachee Mishra (smishra3)</dc:creator>
  <cp:lastModifiedBy>Diwas Thapa</cp:lastModifiedBy>
  <dcterms:created xsi:type="dcterms:W3CDTF">2014-09-02T16:14:09Z</dcterms:created>
  <dcterms:modified xsi:type="dcterms:W3CDTF">2020-04-05T04:53:54Z</dcterms:modified>
</cp:coreProperties>
</file>